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Email Su Server\LETTURA CONTATORE\LETTURA CONTATORE PERIODO 2023\"/>
    </mc:Choice>
  </mc:AlternateContent>
  <xr:revisionPtr revIDLastSave="0" documentId="13_ncr:1_{165F3807-6A80-4AE3-AA80-7C67B25B38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TTURA SETTIMANALE " sheetId="1" r:id="rId1"/>
    <sheet name="LETTURA GIORN. PER VERIFICA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59" i="1" l="1"/>
  <c r="D1359" i="1"/>
  <c r="J1337" i="1"/>
  <c r="J1178" i="1"/>
  <c r="D1178" i="1"/>
  <c r="L1155" i="1"/>
  <c r="J1155" i="1"/>
  <c r="D1155" i="1"/>
  <c r="F1155" i="1"/>
  <c r="L1178" i="1"/>
  <c r="F1178" i="1"/>
  <c r="L1201" i="1"/>
  <c r="F1201" i="1"/>
  <c r="F1224" i="1"/>
  <c r="L1224" i="1"/>
  <c r="D1247" i="1"/>
  <c r="F1247" i="1"/>
  <c r="D1109" i="1"/>
  <c r="J1109" i="1"/>
  <c r="D1132" i="1"/>
  <c r="L1132" i="1"/>
  <c r="J1132" i="1"/>
  <c r="L1086" i="1"/>
  <c r="J1086" i="1"/>
  <c r="F1040" i="1"/>
  <c r="D1040" i="1"/>
  <c r="F996" i="1"/>
  <c r="D996" i="1"/>
  <c r="L930" i="1"/>
  <c r="J930" i="1"/>
  <c r="L886" i="1"/>
  <c r="J886" i="1"/>
  <c r="L842" i="1"/>
  <c r="J842" i="1"/>
  <c r="F798" i="1"/>
  <c r="D798" i="1"/>
  <c r="F754" i="1"/>
  <c r="D754" i="1"/>
  <c r="D710" i="1"/>
  <c r="F710" i="1"/>
  <c r="E524" i="1"/>
  <c r="E523" i="1"/>
  <c r="K524" i="1"/>
  <c r="K523" i="1"/>
  <c r="E545" i="1"/>
  <c r="E544" i="1"/>
  <c r="K545" i="1"/>
  <c r="K544" i="1"/>
  <c r="E566" i="1"/>
  <c r="E565" i="1"/>
  <c r="E629" i="1"/>
  <c r="E628" i="1"/>
  <c r="E627" i="1"/>
  <c r="K608" i="1"/>
  <c r="K607" i="1"/>
  <c r="K606" i="1"/>
  <c r="E608" i="1"/>
  <c r="E607" i="1"/>
  <c r="E606" i="1"/>
  <c r="K587" i="1"/>
  <c r="K586" i="1"/>
  <c r="K585" i="1"/>
  <c r="E587" i="1"/>
  <c r="E586" i="1"/>
  <c r="E585" i="1"/>
  <c r="K566" i="1"/>
  <c r="K565" i="1"/>
  <c r="K564" i="1"/>
  <c r="K503" i="1"/>
  <c r="K502" i="1"/>
  <c r="K501" i="1"/>
  <c r="E503" i="1"/>
  <c r="E502" i="1"/>
  <c r="E501" i="1"/>
  <c r="K482" i="1"/>
  <c r="K481" i="1"/>
  <c r="K480" i="1"/>
  <c r="E482" i="1"/>
  <c r="E481" i="1"/>
  <c r="E480" i="1"/>
  <c r="K461" i="1"/>
  <c r="K460" i="1"/>
  <c r="K459" i="1"/>
  <c r="E461" i="1"/>
  <c r="E460" i="1"/>
  <c r="E459" i="1"/>
  <c r="K440" i="1"/>
  <c r="K439" i="1"/>
  <c r="K438" i="1"/>
  <c r="E440" i="1"/>
  <c r="E439" i="1"/>
  <c r="E438" i="1"/>
  <c r="D17" i="3"/>
  <c r="D16" i="3"/>
  <c r="D15" i="3"/>
  <c r="D14" i="3"/>
  <c r="F17" i="3"/>
  <c r="F16" i="3"/>
  <c r="F15" i="3"/>
  <c r="F14" i="3"/>
  <c r="F37" i="3"/>
  <c r="F34" i="3"/>
  <c r="F35" i="3"/>
  <c r="F36" i="3"/>
  <c r="E398" i="1"/>
  <c r="E397" i="1"/>
  <c r="E396" i="1"/>
  <c r="L9" i="1"/>
  <c r="L8" i="1"/>
  <c r="L7" i="1"/>
  <c r="J9" i="1"/>
  <c r="J8" i="1"/>
  <c r="J7" i="1"/>
  <c r="J16" i="1"/>
  <c r="J15" i="1"/>
  <c r="J14" i="1"/>
  <c r="L16" i="1"/>
  <c r="L15" i="1"/>
  <c r="L14" i="1"/>
  <c r="K377" i="1"/>
  <c r="K376" i="1"/>
  <c r="K375" i="1"/>
  <c r="E377" i="1"/>
  <c r="E376" i="1"/>
  <c r="E375" i="1"/>
  <c r="K356" i="1"/>
  <c r="K355" i="1"/>
  <c r="K354" i="1"/>
  <c r="E356" i="1"/>
  <c r="K335" i="1"/>
  <c r="E335" i="1"/>
  <c r="E355" i="1"/>
  <c r="K334" i="1"/>
  <c r="E334" i="1"/>
  <c r="E354" i="1"/>
  <c r="K333" i="1"/>
  <c r="E333" i="1"/>
  <c r="K314" i="1"/>
  <c r="K313" i="1"/>
  <c r="K312" i="1"/>
  <c r="E314" i="1"/>
  <c r="E313" i="1"/>
  <c r="E312" i="1"/>
  <c r="K293" i="1"/>
  <c r="K292" i="1"/>
  <c r="K291" i="1"/>
  <c r="E293" i="1"/>
  <c r="K272" i="1"/>
  <c r="E272" i="1"/>
  <c r="E292" i="1"/>
  <c r="K271" i="1"/>
  <c r="E271" i="1"/>
  <c r="E291" i="1"/>
  <c r="K270" i="1"/>
  <c r="E270" i="1"/>
  <c r="K251" i="1"/>
  <c r="K250" i="1"/>
  <c r="K249" i="1"/>
  <c r="E251" i="1"/>
  <c r="E250" i="1"/>
  <c r="E249" i="1"/>
  <c r="K230" i="1"/>
  <c r="K229" i="1"/>
  <c r="K228" i="1"/>
  <c r="E230" i="1"/>
  <c r="E229" i="1"/>
  <c r="E228" i="1"/>
  <c r="K209" i="1"/>
  <c r="K208" i="1"/>
  <c r="K207" i="1"/>
  <c r="E209" i="1"/>
  <c r="E208" i="1"/>
  <c r="E207" i="1"/>
  <c r="K188" i="1"/>
  <c r="K187" i="1"/>
  <c r="K186" i="1"/>
  <c r="E188" i="1"/>
  <c r="E187" i="1"/>
  <c r="E186" i="1"/>
  <c r="K167" i="1"/>
  <c r="K166" i="1"/>
  <c r="K165" i="1"/>
  <c r="E146" i="1"/>
  <c r="E145" i="1"/>
  <c r="E144" i="1"/>
  <c r="K125" i="1"/>
  <c r="K124" i="1"/>
  <c r="K123" i="1"/>
  <c r="E125" i="1"/>
  <c r="E124" i="1"/>
  <c r="E123" i="1"/>
  <c r="K104" i="1"/>
  <c r="K103" i="1"/>
  <c r="K102" i="1"/>
  <c r="E104" i="1"/>
  <c r="E103" i="1"/>
  <c r="E102" i="1"/>
  <c r="K83" i="1"/>
  <c r="K82" i="1"/>
  <c r="K81" i="1"/>
  <c r="E83" i="1"/>
  <c r="E82" i="1"/>
  <c r="E81" i="1"/>
  <c r="K62" i="1"/>
  <c r="K61" i="1"/>
  <c r="K60" i="1"/>
  <c r="K41" i="1"/>
  <c r="K40" i="1"/>
  <c r="K39" i="1"/>
  <c r="E62" i="1"/>
  <c r="E61" i="1"/>
  <c r="E60" i="1"/>
  <c r="E280" i="3"/>
  <c r="E279" i="3"/>
  <c r="E278" i="3"/>
  <c r="D269" i="3"/>
  <c r="D268" i="3"/>
  <c r="D267" i="3"/>
  <c r="F269" i="3"/>
  <c r="F268" i="3"/>
  <c r="F267" i="3"/>
  <c r="D276" i="3"/>
  <c r="D275" i="3"/>
  <c r="D274" i="3"/>
  <c r="F276" i="3"/>
  <c r="F275" i="3"/>
  <c r="F274" i="3"/>
  <c r="J249" i="3"/>
  <c r="J248" i="3"/>
  <c r="J247" i="3"/>
  <c r="L249" i="3"/>
  <c r="L248" i="3"/>
  <c r="L247" i="3"/>
  <c r="J256" i="3"/>
  <c r="J255" i="3"/>
  <c r="J254" i="3"/>
  <c r="L256" i="3"/>
  <c r="L255" i="3"/>
  <c r="L254" i="3"/>
  <c r="D249" i="3"/>
  <c r="D248" i="3"/>
  <c r="D247" i="3"/>
  <c r="F249" i="3"/>
  <c r="F248" i="3"/>
  <c r="F247" i="3"/>
  <c r="D256" i="3"/>
  <c r="D255" i="3"/>
  <c r="D254" i="3"/>
  <c r="F256" i="3"/>
  <c r="F255" i="3"/>
  <c r="F254" i="3"/>
  <c r="J229" i="3"/>
  <c r="J228" i="3"/>
  <c r="J227" i="3"/>
  <c r="L229" i="3"/>
  <c r="L228" i="3"/>
  <c r="L227" i="3"/>
  <c r="J236" i="3"/>
  <c r="J235" i="3"/>
  <c r="J234" i="3"/>
  <c r="J237" i="3" s="1"/>
  <c r="L236" i="3"/>
  <c r="L235" i="3"/>
  <c r="L234" i="3"/>
  <c r="L214" i="3"/>
  <c r="D229" i="3"/>
  <c r="D228" i="3"/>
  <c r="D227" i="3"/>
  <c r="F229" i="3"/>
  <c r="F228" i="3"/>
  <c r="F227" i="3"/>
  <c r="D236" i="3"/>
  <c r="D235" i="3"/>
  <c r="D234" i="3"/>
  <c r="F236" i="3"/>
  <c r="F235" i="3"/>
  <c r="F234" i="3"/>
  <c r="J209" i="3"/>
  <c r="J208" i="3"/>
  <c r="J207" i="3"/>
  <c r="L209" i="3"/>
  <c r="L208" i="3"/>
  <c r="L207" i="3"/>
  <c r="J216" i="3"/>
  <c r="J215" i="3"/>
  <c r="J214" i="3"/>
  <c r="L216" i="3"/>
  <c r="L215" i="3"/>
  <c r="K198" i="3"/>
  <c r="J189" i="3"/>
  <c r="J188" i="3"/>
  <c r="J187" i="3"/>
  <c r="F189" i="3"/>
  <c r="F188" i="3"/>
  <c r="L188" i="3"/>
  <c r="L189" i="3"/>
  <c r="L187" i="3"/>
  <c r="J196" i="3"/>
  <c r="J195" i="3"/>
  <c r="J194" i="3"/>
  <c r="L196" i="3"/>
  <c r="L195" i="3"/>
  <c r="L194" i="3"/>
  <c r="E198" i="3"/>
  <c r="D189" i="3"/>
  <c r="D188" i="3"/>
  <c r="D187" i="3"/>
  <c r="F187" i="3"/>
  <c r="D196" i="3"/>
  <c r="D195" i="3"/>
  <c r="D194" i="3"/>
  <c r="F196" i="3"/>
  <c r="F195" i="3"/>
  <c r="F194" i="3"/>
  <c r="K178" i="3"/>
  <c r="J169" i="3"/>
  <c r="J168" i="3"/>
  <c r="J167" i="3"/>
  <c r="L169" i="3"/>
  <c r="L168" i="3"/>
  <c r="L167" i="3"/>
  <c r="J176" i="3"/>
  <c r="J175" i="3"/>
  <c r="J174" i="3"/>
  <c r="L176" i="3"/>
  <c r="L175" i="3"/>
  <c r="L174" i="3"/>
  <c r="E178" i="3"/>
  <c r="D169" i="3"/>
  <c r="D168" i="3"/>
  <c r="D167" i="3"/>
  <c r="F169" i="3"/>
  <c r="F168" i="3"/>
  <c r="F167" i="3"/>
  <c r="D176" i="3"/>
  <c r="D175" i="3"/>
  <c r="D174" i="3"/>
  <c r="F176" i="3"/>
  <c r="F175" i="3"/>
  <c r="F174" i="3"/>
  <c r="K158" i="3"/>
  <c r="J149" i="3"/>
  <c r="J148" i="3"/>
  <c r="J147" i="3"/>
  <c r="L149" i="3"/>
  <c r="L148" i="3"/>
  <c r="L147" i="3"/>
  <c r="J156" i="3"/>
  <c r="J155" i="3"/>
  <c r="J154" i="3"/>
  <c r="L156" i="3"/>
  <c r="L155" i="3"/>
  <c r="L154" i="3"/>
  <c r="E158" i="3"/>
  <c r="D149" i="3"/>
  <c r="D148" i="3"/>
  <c r="D147" i="3"/>
  <c r="F149" i="3"/>
  <c r="F148" i="3"/>
  <c r="F147" i="3"/>
  <c r="D156" i="3"/>
  <c r="D155" i="3"/>
  <c r="D154" i="3"/>
  <c r="F156" i="3"/>
  <c r="F155" i="3"/>
  <c r="F154" i="3"/>
  <c r="K138" i="3"/>
  <c r="J129" i="3"/>
  <c r="J128" i="3"/>
  <c r="J127" i="3"/>
  <c r="L129" i="3"/>
  <c r="L128" i="3"/>
  <c r="L127" i="3"/>
  <c r="J136" i="3"/>
  <c r="J135" i="3"/>
  <c r="J134" i="3"/>
  <c r="L136" i="3"/>
  <c r="L135" i="3"/>
  <c r="L134" i="3"/>
  <c r="E138" i="3"/>
  <c r="D129" i="3"/>
  <c r="D128" i="3"/>
  <c r="D127" i="3"/>
  <c r="F129" i="3"/>
  <c r="F128" i="3"/>
  <c r="F127" i="3"/>
  <c r="D136" i="3"/>
  <c r="D135" i="3"/>
  <c r="D134" i="3"/>
  <c r="F136" i="3"/>
  <c r="F135" i="3"/>
  <c r="F134" i="3"/>
  <c r="J107" i="3"/>
  <c r="J109" i="3"/>
  <c r="J108" i="3"/>
  <c r="L109" i="3"/>
  <c r="L108" i="3"/>
  <c r="L107" i="3"/>
  <c r="J116" i="3"/>
  <c r="J115" i="3"/>
  <c r="J114" i="3"/>
  <c r="L116" i="3"/>
  <c r="L115" i="3"/>
  <c r="L114" i="3"/>
  <c r="F116" i="3"/>
  <c r="F115" i="3"/>
  <c r="F114" i="3"/>
  <c r="D116" i="3"/>
  <c r="D115" i="3"/>
  <c r="D114" i="3"/>
  <c r="F109" i="3"/>
  <c r="F108" i="3"/>
  <c r="F107" i="3"/>
  <c r="D110" i="3"/>
  <c r="K118" i="3" s="1"/>
  <c r="D109" i="3"/>
  <c r="D108" i="3"/>
  <c r="D107" i="3"/>
  <c r="L96" i="3"/>
  <c r="L95" i="3"/>
  <c r="L94" i="3"/>
  <c r="J96" i="3"/>
  <c r="J95" i="3"/>
  <c r="J94" i="3"/>
  <c r="J90" i="3"/>
  <c r="L89" i="3"/>
  <c r="L88" i="3"/>
  <c r="L87" i="3"/>
  <c r="J89" i="3"/>
  <c r="J88" i="3"/>
  <c r="J87" i="3"/>
  <c r="F96" i="3"/>
  <c r="F95" i="3"/>
  <c r="F94" i="3"/>
  <c r="D96" i="3"/>
  <c r="D95" i="3"/>
  <c r="D94" i="3"/>
  <c r="F89" i="3"/>
  <c r="F88" i="3"/>
  <c r="F87" i="3"/>
  <c r="D90" i="3"/>
  <c r="D89" i="3"/>
  <c r="D88" i="3"/>
  <c r="D87" i="3"/>
  <c r="L77" i="3"/>
  <c r="L76" i="3"/>
  <c r="L75" i="3"/>
  <c r="L74" i="3"/>
  <c r="J77" i="3"/>
  <c r="J76" i="3"/>
  <c r="J75" i="3"/>
  <c r="J74" i="3"/>
  <c r="L70" i="3"/>
  <c r="L69" i="3"/>
  <c r="L68" i="3"/>
  <c r="L67" i="3"/>
  <c r="J70" i="3"/>
  <c r="J69" i="3"/>
  <c r="J68" i="3"/>
  <c r="J67" i="3"/>
  <c r="F77" i="3"/>
  <c r="F76" i="3"/>
  <c r="F75" i="3"/>
  <c r="F74" i="3"/>
  <c r="D77" i="3"/>
  <c r="D76" i="3"/>
  <c r="D75" i="3"/>
  <c r="D74" i="3"/>
  <c r="D70" i="3"/>
  <c r="F70" i="3"/>
  <c r="F69" i="3"/>
  <c r="F68" i="3"/>
  <c r="F67" i="3"/>
  <c r="D69" i="3"/>
  <c r="D68" i="3"/>
  <c r="D67" i="3"/>
  <c r="L57" i="3"/>
  <c r="L56" i="3"/>
  <c r="L55" i="3"/>
  <c r="L54" i="3"/>
  <c r="J57" i="3"/>
  <c r="J56" i="3"/>
  <c r="J55" i="3"/>
  <c r="J54" i="3"/>
  <c r="L50" i="3"/>
  <c r="L49" i="3"/>
  <c r="L48" i="3"/>
  <c r="L47" i="3"/>
  <c r="J50" i="3"/>
  <c r="J49" i="3"/>
  <c r="J48" i="3"/>
  <c r="J47" i="3"/>
  <c r="D50" i="3"/>
  <c r="D49" i="3"/>
  <c r="D48" i="3"/>
  <c r="D47" i="3"/>
  <c r="F50" i="3"/>
  <c r="F49" i="3"/>
  <c r="F48" i="3"/>
  <c r="F47" i="3"/>
  <c r="D57" i="3"/>
  <c r="D56" i="3"/>
  <c r="D55" i="3"/>
  <c r="D54" i="3"/>
  <c r="F57" i="3"/>
  <c r="F56" i="3"/>
  <c r="F55" i="3"/>
  <c r="F54" i="3"/>
  <c r="J30" i="3"/>
  <c r="J29" i="3"/>
  <c r="J28" i="3"/>
  <c r="J27" i="3"/>
  <c r="L30" i="3"/>
  <c r="L29" i="3"/>
  <c r="L28" i="3"/>
  <c r="L27" i="3"/>
  <c r="J37" i="3"/>
  <c r="J36" i="3"/>
  <c r="J35" i="3"/>
  <c r="J34" i="3"/>
  <c r="L37" i="3"/>
  <c r="L36" i="3"/>
  <c r="L35" i="3"/>
  <c r="L34" i="3"/>
  <c r="D37" i="3"/>
  <c r="D36" i="3"/>
  <c r="D35" i="3"/>
  <c r="D34" i="3"/>
  <c r="F30" i="3"/>
  <c r="F29" i="3"/>
  <c r="F28" i="3"/>
  <c r="F27" i="3"/>
  <c r="D30" i="3"/>
  <c r="K38" i="3" s="1"/>
  <c r="D29" i="3"/>
  <c r="D28" i="3"/>
  <c r="D27" i="3"/>
  <c r="K10" i="3"/>
  <c r="K9" i="3"/>
  <c r="K8" i="3"/>
  <c r="K7" i="3"/>
  <c r="I10" i="3"/>
  <c r="I9" i="3"/>
  <c r="I8" i="3"/>
  <c r="I7" i="3"/>
  <c r="F10" i="3"/>
  <c r="D10" i="3"/>
  <c r="F9" i="3"/>
  <c r="F8" i="3"/>
  <c r="F7" i="3"/>
  <c r="D9" i="3"/>
  <c r="D8" i="3"/>
  <c r="D7" i="3"/>
  <c r="L210" i="3" l="1"/>
  <c r="F257" i="3"/>
  <c r="J217" i="3"/>
  <c r="D237" i="3"/>
  <c r="D250" i="3"/>
  <c r="L10" i="1"/>
  <c r="D257" i="3"/>
  <c r="E59" i="3"/>
  <c r="E58" i="3"/>
  <c r="F250" i="3"/>
  <c r="J210" i="3"/>
  <c r="D230" i="3"/>
  <c r="J230" i="3"/>
  <c r="F237" i="3"/>
  <c r="L217" i="3"/>
  <c r="L237" i="3"/>
  <c r="F230" i="3"/>
  <c r="K240" i="3"/>
  <c r="L230" i="3"/>
  <c r="K259" i="3"/>
  <c r="E238" i="3"/>
  <c r="E260" i="3"/>
  <c r="K260" i="3"/>
  <c r="E240" i="3"/>
  <c r="E258" i="3"/>
  <c r="K258" i="3"/>
  <c r="E18" i="3"/>
  <c r="K58" i="3"/>
  <c r="K60" i="3"/>
  <c r="K59" i="3"/>
  <c r="E78" i="3"/>
  <c r="E80" i="3"/>
  <c r="E79" i="3"/>
  <c r="L157" i="3"/>
  <c r="F137" i="3"/>
  <c r="F177" i="3"/>
  <c r="E40" i="3"/>
  <c r="E39" i="3"/>
  <c r="K39" i="3"/>
  <c r="K40" i="3"/>
  <c r="E60" i="3"/>
  <c r="K78" i="3"/>
  <c r="K80" i="3"/>
  <c r="K79" i="3"/>
  <c r="E98" i="3"/>
  <c r="K98" i="3"/>
  <c r="D177" i="3"/>
  <c r="F90" i="3"/>
  <c r="D137" i="3"/>
  <c r="J157" i="3"/>
  <c r="L150" i="3"/>
  <c r="L190" i="3"/>
  <c r="E38" i="3"/>
  <c r="F110" i="3"/>
  <c r="J137" i="3"/>
  <c r="E118" i="3"/>
  <c r="F130" i="3"/>
  <c r="F150" i="3"/>
  <c r="D157" i="3"/>
  <c r="L170" i="3"/>
  <c r="J17" i="1"/>
  <c r="J197" i="3"/>
  <c r="L197" i="3"/>
  <c r="F190" i="3"/>
  <c r="D197" i="3"/>
  <c r="F197" i="3"/>
  <c r="J177" i="3"/>
  <c r="L177" i="3"/>
  <c r="F170" i="3"/>
  <c r="F157" i="3"/>
  <c r="L130" i="3"/>
  <c r="L137" i="3"/>
  <c r="L110" i="3"/>
  <c r="J117" i="3"/>
  <c r="L117" i="3"/>
  <c r="F117" i="3"/>
  <c r="D117" i="3"/>
  <c r="L97" i="3"/>
  <c r="J97" i="3"/>
  <c r="L90" i="3"/>
  <c r="F97" i="3"/>
  <c r="E99" i="3" s="1"/>
  <c r="D97" i="3"/>
  <c r="E100" i="3" s="1"/>
  <c r="K239" i="3" l="1"/>
  <c r="K238" i="3"/>
  <c r="E239" i="3"/>
  <c r="E259" i="3"/>
  <c r="K180" i="3"/>
  <c r="K139" i="3"/>
  <c r="K179" i="3"/>
  <c r="E180" i="3"/>
  <c r="E179" i="3"/>
  <c r="K140" i="3"/>
  <c r="K159" i="3"/>
  <c r="E119" i="3"/>
  <c r="K99" i="3"/>
  <c r="K120" i="3"/>
  <c r="K200" i="3"/>
  <c r="K100" i="3"/>
  <c r="K119" i="3"/>
  <c r="K199" i="3"/>
  <c r="K160" i="3"/>
  <c r="E160" i="3"/>
  <c r="E159" i="3"/>
  <c r="E199" i="3"/>
  <c r="E140" i="3"/>
  <c r="E120" i="3"/>
  <c r="E200" i="3"/>
  <c r="E139" i="3"/>
</calcChain>
</file>

<file path=xl/sharedStrings.xml><?xml version="1.0" encoding="utf-8"?>
<sst xmlns="http://schemas.openxmlformats.org/spreadsheetml/2006/main" count="2908" uniqueCount="83">
  <si>
    <t xml:space="preserve">LETTURA CONTATORE INTERNO </t>
  </si>
  <si>
    <t>CLIENTE 616 351 184</t>
  </si>
  <si>
    <t>IMMISSIONE</t>
  </si>
  <si>
    <t>PRELIEVI</t>
  </si>
  <si>
    <t>A1</t>
  </si>
  <si>
    <t>A2</t>
  </si>
  <si>
    <t>A3</t>
  </si>
  <si>
    <t xml:space="preserve">LETTURA CONTATORE ESTERNO </t>
  </si>
  <si>
    <t>Energia Prodotta</t>
  </si>
  <si>
    <t>energia Consumata</t>
  </si>
  <si>
    <t>Energia Immessa</t>
  </si>
  <si>
    <t>PERIODO PRECEDENTE</t>
  </si>
  <si>
    <r>
      <rPr>
        <b/>
        <sz val="11"/>
        <color theme="1"/>
        <rFont val="Calibri"/>
        <family val="2"/>
        <scheme val="minor"/>
      </rPr>
      <t>ENERGIA PRODOTTA</t>
    </r>
    <r>
      <rPr>
        <sz val="11"/>
        <color theme="1"/>
        <rFont val="Calibri"/>
        <family val="2"/>
        <scheme val="minor"/>
      </rPr>
      <t xml:space="preserve">: SOMMA TOTALE IMMISSIONI CONTATORE INTERNO - SOMMA TOTALE IMMISSIONI CONTATORE INTERNO PERIODO PRECEDENTE  </t>
    </r>
  </si>
  <si>
    <r>
      <rPr>
        <b/>
        <sz val="11"/>
        <color theme="1"/>
        <rFont val="Calibri"/>
        <family val="2"/>
        <scheme val="minor"/>
      </rPr>
      <t>ENERGIA CONSUMATA</t>
    </r>
    <r>
      <rPr>
        <sz val="11"/>
        <color theme="1"/>
        <rFont val="Calibri"/>
        <family val="2"/>
        <scheme val="minor"/>
      </rPr>
      <t xml:space="preserve">: SOMMA TOTALE PRELIEVI CONTATORE ESTERNO - SOMMA TOTALE PRELIEVI CONTATORE ESTERNO PERIODO PRECEDENTE  </t>
    </r>
  </si>
  <si>
    <r>
      <rPr>
        <b/>
        <sz val="11"/>
        <color theme="1"/>
        <rFont val="Calibri"/>
        <family val="2"/>
        <scheme val="minor"/>
      </rPr>
      <t>ENERGIA IMMESSA</t>
    </r>
    <r>
      <rPr>
        <sz val="11"/>
        <color theme="1"/>
        <rFont val="Calibri"/>
        <family val="2"/>
        <scheme val="minor"/>
      </rPr>
      <t>: SOMMA TOTALE IMMISSIONI CONTATORE ESTERNO - SOMMA TOTALE IMMISSIONI CONTATORE ESTERNO PERIODO PRECEDENTE</t>
    </r>
  </si>
  <si>
    <t>03/02/2022 - POTENZA ISTANTANEA CONTATORE ESTERNO: 002,226</t>
  </si>
  <si>
    <t>03/02/2022 - POTENZA ISTANTANEA CONTATORE INETRNO: 0</t>
  </si>
  <si>
    <t>04/02/2022 - POTENZA ISTANTANEA CONTATORE ESTERNO: 000,366</t>
  </si>
  <si>
    <t xml:space="preserve">04/02/2022 - POTENZA ISTANTANEA CONTATORE INETRNO: 0 </t>
  </si>
  <si>
    <t xml:space="preserve">07/02/2022 - POTENZA ISTANTANEA CONTATORE ESTERNO: 002,830 </t>
  </si>
  <si>
    <t>07/02/2022 - POTENZA ISTANTANEA CONTATORE INTERNO: 0</t>
  </si>
  <si>
    <t>MATTINA</t>
  </si>
  <si>
    <t>08/02/2022 - POTENZA ISTANTANEA CONTATORE ESTERNO: 002,652</t>
  </si>
  <si>
    <t>08/02/2022 - POTENZA ISTANTANEA CONTATORE INTERNO: 0</t>
  </si>
  <si>
    <t>09/02/2022 - POTENZA ISTANTANEA CONTATORE INTERNO: 0</t>
  </si>
  <si>
    <t>10/02/2022 - POTENZA ISTANTANEA CONTATORE INTERNO: 0</t>
  </si>
  <si>
    <t xml:space="preserve">09/02/2022 - POTENZA ISTANTANEA CONTATORE ESTERNO: 002,879 </t>
  </si>
  <si>
    <t>10/02/2022 - POTENZA ISTANTANEA CONTATORE ESTERNO: 000,732</t>
  </si>
  <si>
    <t>SERA</t>
  </si>
  <si>
    <t>ORE 12:00</t>
  </si>
  <si>
    <t>11/02/2022 - POTENZA ISTANTANEA CONTATORE INTERNO: 0</t>
  </si>
  <si>
    <t>14/02/2022 - POTENZA ISTANTANEA CONTATORE INTERNO: 0</t>
  </si>
  <si>
    <t xml:space="preserve">14/02/2022 - POTENZA ISTANTANEA CONTATORE ESTERNO: 002,877 </t>
  </si>
  <si>
    <t>11/02/2022 - POTENZA ISTANTANEA CONTATORE ESTERNO: 002,850</t>
  </si>
  <si>
    <t>ORE 13:00</t>
  </si>
  <si>
    <t>15/02/2022 - POTENZA ISTANTANEA CONTATORE ESTERNO: 000,352</t>
  </si>
  <si>
    <t>15/02/2022 - POTENZA ISTANTANEA CONTATORE INTERNO: 0</t>
  </si>
  <si>
    <t>16/02/2022 - POTENZA ISTANTANEA CONTATORE INTERNO: 0</t>
  </si>
  <si>
    <t>16/02/2022 - POTENZA ISTANTANEA CONTATORE ESTERNO: 000,436</t>
  </si>
  <si>
    <t>17/02/2022 - POTENZA ISTANTANEA CONTATORE INTERNO: 0</t>
  </si>
  <si>
    <t>18/02/2022 - POTENZA ISTANTANEA CONTATORE INTERNO: 0</t>
  </si>
  <si>
    <t>17/02/2022 - POTENZA ISTANTANEA CONTATORE ESTERNO: 000,673</t>
  </si>
  <si>
    <t>18/02/2022 - POTENZA ISTANTANEA CONTATORE ESTERNO: 000,667</t>
  </si>
  <si>
    <t>21/02/2022 - POTENZA ISTANTANEA CONTATORE INTERNO: 0</t>
  </si>
  <si>
    <t>22/02/2022 - POTENZA ISTANTANEA CONTATORE INTERNO: 0</t>
  </si>
  <si>
    <t>21/02/2022 - POTENZA ISTANTANEA CONTATORE ESTERNO: 003,121</t>
  </si>
  <si>
    <t>22/02/2022 - POTENZA ISTANTANEA CONTATORE ESTERNO: 000,065</t>
  </si>
  <si>
    <t>19/01/2022 cambio contatore esterno</t>
  </si>
  <si>
    <t>23/02/2022 - POTENZA ISTANTANEA CONTATORE INTERNO: 0</t>
  </si>
  <si>
    <t>24/02/2022 - POTENZA ISTANTANEA CONTATORE INTERNO: 0</t>
  </si>
  <si>
    <t>23/02/2022 - POTENZA ISTANTANEA CONTATORE ESTERNO: 001,643</t>
  </si>
  <si>
    <t>24/02/2022 - POTENZA ISTANTANEA CONTATORE ESTERNO:002,377</t>
  </si>
  <si>
    <t>25/02/2022 - POTENZA ISTANTANEA CONTATORE INTERNO: 0</t>
  </si>
  <si>
    <t>28/02/2022 - POTENZA ISTANTANEA CONTATORE INTERNO: 0</t>
  </si>
  <si>
    <t>25/02/2022 - POTENZA ISTANTANEA CONTATORE ESTERNO: 0</t>
  </si>
  <si>
    <t>ore 11:00</t>
  </si>
  <si>
    <t>28/02/2022 - POTENZA ISTANTANEA CONTATORE ESTERNO: 002,593</t>
  </si>
  <si>
    <t>01/03/2022 - POTENZA ISTANTANEA CONTATORE ESTERNO: 0</t>
  </si>
  <si>
    <t>01/03/2022 - POTENZA ISTANTANEA CONTATORE INTERNO: 0</t>
  </si>
  <si>
    <t>02/03/2022 - POTENZA ISTANTANEA CONTATORE INTERNO: 0</t>
  </si>
  <si>
    <t>03/03/2022 - POTENZA ISTANTANEA CONTATORE INTERNO: 0</t>
  </si>
  <si>
    <t>04/03/2022 - POTENZA ISTANTANEA CONTATORE ESTERNO: 0</t>
  </si>
  <si>
    <t>04/03/2022 - POTENZA ISTANTANEA CONTATORE INTERNO: 0</t>
  </si>
  <si>
    <t>07/03/2022 - POTENZA ISTANTANEA CONTATORE INTERNO: 0</t>
  </si>
  <si>
    <t>08/03/2022 - POTENZA ISTANTANEA CONTATORE ESTERNO: 0</t>
  </si>
  <si>
    <t>08/03/2022 - POTENZA ISTANTANEA CONTATORE INTERNO: 0</t>
  </si>
  <si>
    <t>09/03/2022 - POTENZA ISTANTANEA CONTATORE INTERNO: 0</t>
  </si>
  <si>
    <t>10/03/2022 - POTENZA ISTANTANEA CONTATORE INTERNO: 0</t>
  </si>
  <si>
    <t>11/03/2022 - POTENZA ISTANTANEA CONTATORE INTERNO: 0</t>
  </si>
  <si>
    <t>14/03/2022 - POTENZA ISTANTANEA CONTATORE ESTERNO: 0</t>
  </si>
  <si>
    <t>14/03/2022 - POTENZA ISTANTANEA CONTATORE INTERNO: 0</t>
  </si>
  <si>
    <t>02/03/2022 - POTENZA ISTANTANEA CONTATORE ESTERNO: 0,060</t>
  </si>
  <si>
    <t>03/03/2022 - POTENZA ISTANTANEA CONTATORE ESTERNO: 3,078</t>
  </si>
  <si>
    <t>ore 12:00</t>
  </si>
  <si>
    <t>ore 9:00</t>
  </si>
  <si>
    <t>ore 17:00</t>
  </si>
  <si>
    <t>07/03/2022 - POTENZA ISTANTANEA CONTATORE ESTERNO: 0,485</t>
  </si>
  <si>
    <t>09/03/2022 - POTENZA ISTANTANEA CONTATORE ESTERNO: 2,379</t>
  </si>
  <si>
    <t>ORE 9:00</t>
  </si>
  <si>
    <t>ORE 14:00</t>
  </si>
  <si>
    <t>10/03/2022 - POTENZA ISTANTANEA CONTATORE ESTERNO: 0,341</t>
  </si>
  <si>
    <t>11/03/2022 - POTENZA ISTANTANEA CONTATORE ESTERNO: 0,275</t>
  </si>
  <si>
    <t xml:space="preserve">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</si>
</sst>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48"/>
      <name val="Arial"/>
      <family val="2"/>
    </font>
    <font>
      <b/>
      <sz val="10"/>
      <color indexed="1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1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14" fontId="0" fillId="2" borderId="3" xfId="0" applyNumberFormat="1" applyFill="1" applyBorder="1"/>
    <xf numFmtId="0" fontId="0" fillId="0" borderId="4" xfId="0" applyBorder="1"/>
    <xf numFmtId="0" fontId="0" fillId="0" borderId="5" xfId="0" applyBorder="1"/>
    <xf numFmtId="14" fontId="0" fillId="0" borderId="0" xfId="0" applyNumberFormat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/>
    <xf numFmtId="0" fontId="1" fillId="0" borderId="6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Border="1"/>
    <xf numFmtId="0" fontId="2" fillId="0" borderId="0" xfId="0" applyFont="1"/>
    <xf numFmtId="0" fontId="3" fillId="0" borderId="16" xfId="0" applyFont="1" applyBorder="1"/>
    <xf numFmtId="0" fontId="3" fillId="0" borderId="17" xfId="0" applyFont="1" applyBorder="1"/>
    <xf numFmtId="0" fontId="0" fillId="0" borderId="18" xfId="0" applyBorder="1"/>
    <xf numFmtId="0" fontId="4" fillId="0" borderId="0" xfId="0" applyFont="1"/>
    <xf numFmtId="0" fontId="5" fillId="0" borderId="0" xfId="0" applyFont="1"/>
    <xf numFmtId="164" fontId="0" fillId="0" borderId="15" xfId="0" applyNumberFormat="1" applyBorder="1" applyAlignment="1">
      <alignment horizontal="center" vertical="center"/>
    </xf>
    <xf numFmtId="164" fontId="4" fillId="0" borderId="0" xfId="0" applyNumberFormat="1" applyFont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362"/>
  <sheetViews>
    <sheetView tabSelected="1" topLeftCell="A1302" zoomScale="130" zoomScaleNormal="130" workbookViewId="0">
      <selection activeCell="P1349" sqref="P1349"/>
    </sheetView>
  </sheetViews>
  <sheetFormatPr defaultRowHeight="15" x14ac:dyDescent="0.25"/>
  <cols>
    <col min="1" max="1" width="1.140625" customWidth="1"/>
    <col min="4" max="4" width="12.28515625" bestFit="1" customWidth="1"/>
    <col min="10" max="10" width="11.140625" customWidth="1"/>
    <col min="12" max="12" width="10.7109375" bestFit="1" customWidth="1"/>
    <col min="16" max="16" width="10.42578125" customWidth="1"/>
  </cols>
  <sheetData>
    <row r="1" spans="2:18" ht="6.75" customHeight="1" thickBot="1" x14ac:dyDescent="0.3"/>
    <row r="2" spans="2:18" x14ac:dyDescent="0.25">
      <c r="B2" s="1"/>
      <c r="C2" s="2"/>
      <c r="D2" s="3">
        <v>44592</v>
      </c>
      <c r="E2" s="2"/>
      <c r="F2" s="4"/>
      <c r="H2" s="1"/>
      <c r="I2" s="2"/>
      <c r="J2" s="3">
        <v>44620</v>
      </c>
      <c r="K2" s="2"/>
      <c r="L2" s="4"/>
      <c r="N2" s="1"/>
      <c r="O2" s="2"/>
      <c r="P2" s="3">
        <v>44561</v>
      </c>
      <c r="Q2" s="2"/>
      <c r="R2" s="4"/>
    </row>
    <row r="3" spans="2:18" x14ac:dyDescent="0.25">
      <c r="B3" s="5"/>
      <c r="D3" s="6"/>
      <c r="F3" s="7"/>
      <c r="H3" s="5"/>
      <c r="J3" s="6"/>
      <c r="L3" s="7"/>
      <c r="N3" s="5"/>
      <c r="P3" s="6"/>
      <c r="R3" s="7"/>
    </row>
    <row r="4" spans="2:18" x14ac:dyDescent="0.25">
      <c r="B4" s="5"/>
      <c r="C4" s="8" t="s">
        <v>0</v>
      </c>
      <c r="D4" s="9"/>
      <c r="E4" s="9"/>
      <c r="F4" s="10"/>
      <c r="H4" s="5"/>
      <c r="I4" s="8" t="s">
        <v>0</v>
      </c>
      <c r="J4" s="9"/>
      <c r="K4" s="9"/>
      <c r="L4" s="10"/>
      <c r="N4" s="5"/>
      <c r="O4" s="8" t="s">
        <v>0</v>
      </c>
      <c r="P4" s="9"/>
      <c r="Q4" s="9"/>
      <c r="R4" s="10"/>
    </row>
    <row r="5" spans="2:18" x14ac:dyDescent="0.25">
      <c r="B5" s="5"/>
      <c r="C5" s="11" t="s">
        <v>1</v>
      </c>
      <c r="D5" s="12"/>
      <c r="E5" s="12"/>
      <c r="F5" s="13"/>
      <c r="H5" s="5"/>
      <c r="I5" s="11" t="s">
        <v>1</v>
      </c>
      <c r="J5" s="12"/>
      <c r="K5" s="12"/>
      <c r="L5" s="13"/>
      <c r="N5" s="5"/>
      <c r="O5" s="11" t="s">
        <v>1</v>
      </c>
      <c r="P5" s="12"/>
      <c r="Q5" s="12"/>
      <c r="R5" s="13"/>
    </row>
    <row r="6" spans="2:18" x14ac:dyDescent="0.25">
      <c r="B6" s="5"/>
      <c r="C6" s="14"/>
      <c r="D6" t="s">
        <v>2</v>
      </c>
      <c r="F6" s="7" t="s">
        <v>3</v>
      </c>
      <c r="H6" s="5"/>
      <c r="I6" s="14"/>
      <c r="J6" t="s">
        <v>2</v>
      </c>
      <c r="L6" s="7" t="s">
        <v>3</v>
      </c>
      <c r="N6" s="5"/>
      <c r="O6" s="14"/>
      <c r="P6" t="s">
        <v>2</v>
      </c>
      <c r="R6" s="7" t="s">
        <v>3</v>
      </c>
    </row>
    <row r="7" spans="2:18" x14ac:dyDescent="0.25">
      <c r="B7" s="5"/>
      <c r="C7" s="14" t="s">
        <v>4</v>
      </c>
      <c r="D7">
        <v>1433.33</v>
      </c>
      <c r="F7" s="15">
        <v>8.9999999999999993E-3</v>
      </c>
      <c r="H7" s="5"/>
      <c r="I7" s="14" t="s">
        <v>4</v>
      </c>
      <c r="J7">
        <f>1534.401</f>
        <v>1534.4010000000001</v>
      </c>
      <c r="L7" s="15">
        <f>0.011</f>
        <v>1.0999999999999999E-2</v>
      </c>
      <c r="N7" s="5"/>
      <c r="O7" s="14" t="s">
        <v>4</v>
      </c>
      <c r="P7">
        <v>1364</v>
      </c>
      <c r="R7" s="15">
        <v>8.9999999999999993E-3</v>
      </c>
    </row>
    <row r="8" spans="2:18" x14ac:dyDescent="0.25">
      <c r="B8" s="5"/>
      <c r="C8" s="14" t="s">
        <v>5</v>
      </c>
      <c r="D8">
        <v>340.96</v>
      </c>
      <c r="F8" s="15">
        <v>3.5000000000000003E-2</v>
      </c>
      <c r="H8" s="5"/>
      <c r="I8" s="14" t="s">
        <v>5</v>
      </c>
      <c r="J8">
        <f>355.692</f>
        <v>355.69200000000001</v>
      </c>
      <c r="L8" s="15">
        <f>0.036</f>
        <v>3.5999999999999997E-2</v>
      </c>
      <c r="N8" s="5"/>
      <c r="O8" s="14" t="s">
        <v>5</v>
      </c>
      <c r="P8">
        <v>320</v>
      </c>
      <c r="R8" s="15">
        <v>3.3000000000000002E-2</v>
      </c>
    </row>
    <row r="9" spans="2:18" ht="15.75" thickBot="1" x14ac:dyDescent="0.3">
      <c r="B9" s="5"/>
      <c r="C9" s="16" t="s">
        <v>6</v>
      </c>
      <c r="D9">
        <v>332.93</v>
      </c>
      <c r="E9" s="17"/>
      <c r="F9" s="18">
        <v>5.1999999999999998E-2</v>
      </c>
      <c r="H9" s="5"/>
      <c r="I9" s="16" t="s">
        <v>6</v>
      </c>
      <c r="J9">
        <f>349.371</f>
        <v>349.37099999999998</v>
      </c>
      <c r="K9" s="17"/>
      <c r="L9" s="18">
        <f>0.056</f>
        <v>5.6000000000000001E-2</v>
      </c>
      <c r="N9" s="5"/>
      <c r="O9" s="16" t="s">
        <v>6</v>
      </c>
      <c r="P9">
        <v>316</v>
      </c>
      <c r="Q9" s="17"/>
      <c r="R9" s="18">
        <v>4.9000000000000002E-2</v>
      </c>
    </row>
    <row r="10" spans="2:18" ht="15.75" thickBot="1" x14ac:dyDescent="0.3">
      <c r="B10" s="5"/>
      <c r="D10" s="19">
        <v>2107.2199999999998</v>
      </c>
      <c r="F10" s="19">
        <v>9.6000000000000002E-2</v>
      </c>
      <c r="H10" s="5"/>
      <c r="J10" s="19">
        <v>2239.4639999999999</v>
      </c>
      <c r="L10" s="19">
        <f>SUM(L7:L9)</f>
        <v>0.10300000000000001</v>
      </c>
      <c r="N10" s="5"/>
      <c r="P10" s="19">
        <v>2000</v>
      </c>
      <c r="R10" s="19">
        <v>9.0999999999999998E-2</v>
      </c>
    </row>
    <row r="11" spans="2:18" x14ac:dyDescent="0.25">
      <c r="B11" s="5"/>
      <c r="C11" s="8" t="s">
        <v>7</v>
      </c>
      <c r="D11" s="12"/>
      <c r="E11" s="9"/>
      <c r="F11" s="10"/>
      <c r="H11" s="5"/>
      <c r="I11" s="8" t="s">
        <v>7</v>
      </c>
      <c r="J11" s="12"/>
      <c r="K11" s="9"/>
      <c r="L11" s="10"/>
      <c r="N11" s="5"/>
      <c r="O11" s="8" t="s">
        <v>7</v>
      </c>
      <c r="P11" s="12"/>
      <c r="Q11" s="9"/>
      <c r="R11" s="10"/>
    </row>
    <row r="12" spans="2:18" x14ac:dyDescent="0.25">
      <c r="B12" s="5"/>
      <c r="C12" s="11" t="s">
        <v>1</v>
      </c>
      <c r="D12" s="12"/>
      <c r="E12" s="12"/>
      <c r="F12" s="13"/>
      <c r="H12" s="5"/>
      <c r="I12" s="11" t="s">
        <v>1</v>
      </c>
      <c r="J12" s="12"/>
      <c r="K12" s="12"/>
      <c r="L12" s="13"/>
      <c r="N12" s="5"/>
      <c r="O12" s="11" t="s">
        <v>1</v>
      </c>
      <c r="P12" s="12"/>
      <c r="Q12" s="12"/>
      <c r="R12" s="13"/>
    </row>
    <row r="13" spans="2:18" x14ac:dyDescent="0.25">
      <c r="B13" s="5"/>
      <c r="C13" s="14"/>
      <c r="D13" t="s">
        <v>2</v>
      </c>
      <c r="F13" s="7" t="s">
        <v>3</v>
      </c>
      <c r="H13" s="5"/>
      <c r="I13" s="14"/>
      <c r="J13" t="s">
        <v>2</v>
      </c>
      <c r="L13" s="7" t="s">
        <v>3</v>
      </c>
      <c r="N13" s="5"/>
      <c r="O13" s="14"/>
      <c r="P13" t="s">
        <v>2</v>
      </c>
      <c r="R13" s="7" t="s">
        <v>3</v>
      </c>
    </row>
    <row r="14" spans="2:18" x14ac:dyDescent="0.25">
      <c r="B14" s="5"/>
      <c r="C14" s="14" t="s">
        <v>4</v>
      </c>
      <c r="F14" s="20"/>
      <c r="H14" s="5"/>
      <c r="I14" s="14" t="s">
        <v>4</v>
      </c>
      <c r="J14">
        <f>9.946</f>
        <v>9.9459999999999997</v>
      </c>
      <c r="L14" s="20">
        <f>362.53</f>
        <v>362.53</v>
      </c>
      <c r="N14" s="5"/>
      <c r="O14" s="14" t="s">
        <v>4</v>
      </c>
      <c r="P14">
        <v>32326</v>
      </c>
      <c r="R14" s="20">
        <v>157624</v>
      </c>
    </row>
    <row r="15" spans="2:18" x14ac:dyDescent="0.25">
      <c r="B15" s="5"/>
      <c r="C15" s="14" t="s">
        <v>5</v>
      </c>
      <c r="F15" s="21"/>
      <c r="H15" s="5"/>
      <c r="I15" s="14" t="s">
        <v>5</v>
      </c>
      <c r="J15">
        <f>19.967</f>
        <v>19.966999999999999</v>
      </c>
      <c r="L15" s="21">
        <f>117.098</f>
        <v>117.098</v>
      </c>
      <c r="N15" s="5"/>
      <c r="O15" s="14" t="s">
        <v>5</v>
      </c>
      <c r="P15">
        <v>22005</v>
      </c>
      <c r="R15" s="21">
        <v>45644</v>
      </c>
    </row>
    <row r="16" spans="2:18" ht="15.75" thickBot="1" x14ac:dyDescent="0.3">
      <c r="B16" s="5"/>
      <c r="C16" s="16" t="s">
        <v>6</v>
      </c>
      <c r="E16" s="17"/>
      <c r="F16" s="21"/>
      <c r="H16" s="5"/>
      <c r="I16" s="16" t="s">
        <v>6</v>
      </c>
      <c r="J16">
        <f>23.865</f>
        <v>23.864999999999998</v>
      </c>
      <c r="K16" s="17"/>
      <c r="L16" s="21">
        <f>100.592</f>
        <v>100.592</v>
      </c>
      <c r="N16" s="5"/>
      <c r="O16" s="16" t="s">
        <v>6</v>
      </c>
      <c r="P16">
        <v>26138</v>
      </c>
      <c r="Q16" s="17"/>
      <c r="R16" s="21">
        <v>66882</v>
      </c>
    </row>
    <row r="17" spans="2:18" ht="15.75" thickBot="1" x14ac:dyDescent="0.3">
      <c r="B17" s="5"/>
      <c r="D17" s="19"/>
      <c r="F17" s="19"/>
      <c r="H17" s="5"/>
      <c r="J17" s="19">
        <f>SUM(J14:J16)</f>
        <v>53.777999999999992</v>
      </c>
      <c r="L17" s="19">
        <v>580.22</v>
      </c>
      <c r="N17" s="5"/>
      <c r="P17" s="19">
        <v>80469</v>
      </c>
      <c r="R17" s="19">
        <v>270150</v>
      </c>
    </row>
    <row r="18" spans="2:18" x14ac:dyDescent="0.25">
      <c r="B18" s="22" t="s">
        <v>8</v>
      </c>
      <c r="C18" s="23"/>
      <c r="D18" s="23"/>
      <c r="E18" s="23"/>
      <c r="F18" s="7"/>
      <c r="H18" s="22" t="s">
        <v>8</v>
      </c>
      <c r="I18" s="23"/>
      <c r="J18" s="23"/>
      <c r="K18" s="23"/>
      <c r="L18" s="7"/>
      <c r="N18" s="22" t="s">
        <v>8</v>
      </c>
      <c r="O18" s="23"/>
      <c r="P18" s="23"/>
      <c r="Q18" s="23"/>
      <c r="R18" s="7"/>
    </row>
    <row r="19" spans="2:18" ht="15.75" thickBot="1" x14ac:dyDescent="0.3">
      <c r="B19" s="24" t="s">
        <v>9</v>
      </c>
      <c r="C19" s="25"/>
      <c r="D19" s="25"/>
      <c r="E19" s="25"/>
      <c r="F19" s="26"/>
      <c r="H19" s="24" t="s">
        <v>9</v>
      </c>
      <c r="I19" s="25"/>
      <c r="J19" s="25"/>
      <c r="K19" s="25"/>
      <c r="L19" s="26"/>
      <c r="N19" s="24" t="s">
        <v>9</v>
      </c>
      <c r="O19" s="25"/>
      <c r="P19" s="25"/>
      <c r="Q19" s="25"/>
      <c r="R19" s="26"/>
    </row>
    <row r="20" spans="2:18" x14ac:dyDescent="0.25">
      <c r="B20" s="27" t="s">
        <v>10</v>
      </c>
      <c r="C20" s="27"/>
      <c r="D20" s="27"/>
      <c r="E20" s="27"/>
      <c r="H20" s="27" t="s">
        <v>10</v>
      </c>
      <c r="I20" s="27"/>
      <c r="J20" s="27"/>
      <c r="K20" s="27"/>
      <c r="N20" s="27" t="s">
        <v>10</v>
      </c>
      <c r="O20" s="27"/>
      <c r="P20" s="27"/>
      <c r="Q20" s="27"/>
    </row>
    <row r="22" spans="2:18" ht="15.75" thickBot="1" x14ac:dyDescent="0.3">
      <c r="N22" s="31"/>
      <c r="O22" s="31"/>
      <c r="P22" s="31"/>
      <c r="Q22" s="31"/>
      <c r="R22" s="31"/>
    </row>
    <row r="23" spans="2:18" x14ac:dyDescent="0.25">
      <c r="B23" s="1"/>
      <c r="C23" s="2"/>
      <c r="D23" s="3">
        <v>44651</v>
      </c>
      <c r="E23" s="2"/>
      <c r="F23" s="4"/>
      <c r="H23" s="1"/>
      <c r="I23" s="2"/>
      <c r="J23" s="3">
        <v>44657</v>
      </c>
      <c r="K23" s="2"/>
      <c r="L23" s="4"/>
      <c r="N23" s="31" t="s">
        <v>47</v>
      </c>
      <c r="O23" s="31"/>
      <c r="P23" s="31"/>
      <c r="Q23" s="31"/>
      <c r="R23" s="31"/>
    </row>
    <row r="24" spans="2:18" x14ac:dyDescent="0.25">
      <c r="B24" s="5"/>
      <c r="D24" s="6"/>
      <c r="F24" s="7"/>
      <c r="H24" s="5"/>
      <c r="J24" s="6"/>
      <c r="L24" s="7"/>
    </row>
    <row r="25" spans="2:18" x14ac:dyDescent="0.25">
      <c r="B25" s="5"/>
      <c r="C25" s="8" t="s">
        <v>0</v>
      </c>
      <c r="D25" s="9"/>
      <c r="E25" s="9"/>
      <c r="F25" s="10"/>
      <c r="H25" s="5"/>
      <c r="I25" s="8" t="s">
        <v>0</v>
      </c>
      <c r="J25" s="9"/>
      <c r="K25" s="9"/>
      <c r="L25" s="10"/>
    </row>
    <row r="26" spans="2:18" x14ac:dyDescent="0.25">
      <c r="B26" s="5"/>
      <c r="C26" s="11" t="s">
        <v>1</v>
      </c>
      <c r="D26" s="12"/>
      <c r="E26" s="12"/>
      <c r="F26" s="13"/>
      <c r="H26" s="5"/>
      <c r="I26" s="11" t="s">
        <v>1</v>
      </c>
      <c r="J26" s="12"/>
      <c r="K26" s="12"/>
      <c r="L26" s="13"/>
    </row>
    <row r="27" spans="2:18" x14ac:dyDescent="0.25">
      <c r="B27" s="5"/>
      <c r="C27" s="14"/>
      <c r="D27" t="s">
        <v>2</v>
      </c>
      <c r="F27" s="7" t="s">
        <v>3</v>
      </c>
      <c r="H27" s="5"/>
      <c r="I27" s="14"/>
      <c r="J27" t="s">
        <v>2</v>
      </c>
      <c r="L27" s="7" t="s">
        <v>3</v>
      </c>
    </row>
    <row r="28" spans="2:18" x14ac:dyDescent="0.25">
      <c r="B28" s="5"/>
      <c r="C28" s="14" t="s">
        <v>4</v>
      </c>
      <c r="D28">
        <v>1648.2139999999999</v>
      </c>
      <c r="F28" s="15">
        <v>1.4999999999999999E-2</v>
      </c>
      <c r="H28" s="5"/>
      <c r="I28" s="14" t="s">
        <v>4</v>
      </c>
      <c r="J28">
        <v>1720.306</v>
      </c>
      <c r="L28" s="15">
        <v>1.4999999999999999E-2</v>
      </c>
    </row>
    <row r="29" spans="2:18" x14ac:dyDescent="0.25">
      <c r="B29" s="5"/>
      <c r="C29" s="14" t="s">
        <v>5</v>
      </c>
      <c r="D29">
        <v>378.41199999999998</v>
      </c>
      <c r="F29" s="15">
        <v>0.04</v>
      </c>
      <c r="H29" s="5"/>
      <c r="I29" s="14" t="s">
        <v>5</v>
      </c>
      <c r="J29">
        <v>387.77699999999999</v>
      </c>
      <c r="L29" s="15">
        <v>0.04</v>
      </c>
    </row>
    <row r="30" spans="2:18" ht="15.75" thickBot="1" x14ac:dyDescent="0.3">
      <c r="B30" s="5"/>
      <c r="C30" s="16" t="s">
        <v>6</v>
      </c>
      <c r="D30">
        <v>380.42500000000001</v>
      </c>
      <c r="E30" s="17"/>
      <c r="F30" s="18">
        <v>5.8999999999999997E-2</v>
      </c>
      <c r="H30" s="5"/>
      <c r="I30" s="16" t="s">
        <v>6</v>
      </c>
      <c r="J30">
        <v>383.78300000000002</v>
      </c>
      <c r="K30" s="17"/>
      <c r="L30" s="18">
        <v>5.8999999999999997E-2</v>
      </c>
    </row>
    <row r="31" spans="2:18" ht="15.75" thickBot="1" x14ac:dyDescent="0.3">
      <c r="B31" s="5"/>
      <c r="D31" s="19">
        <v>2407.0509999999999</v>
      </c>
      <c r="F31" s="19">
        <v>0.114</v>
      </c>
      <c r="H31" s="5"/>
      <c r="J31" s="19">
        <v>2491.866</v>
      </c>
      <c r="L31" s="19">
        <v>0.114</v>
      </c>
    </row>
    <row r="32" spans="2:18" x14ac:dyDescent="0.25">
      <c r="B32" s="5"/>
      <c r="C32" s="8" t="s">
        <v>7</v>
      </c>
      <c r="D32" s="12"/>
      <c r="E32" s="9"/>
      <c r="F32" s="10"/>
      <c r="H32" s="5"/>
      <c r="I32" s="8" t="s">
        <v>7</v>
      </c>
      <c r="J32" s="12"/>
      <c r="K32" s="9"/>
      <c r="L32" s="10"/>
    </row>
    <row r="33" spans="2:12" x14ac:dyDescent="0.25">
      <c r="B33" s="5"/>
      <c r="C33" s="11" t="s">
        <v>1</v>
      </c>
      <c r="D33" s="12"/>
      <c r="E33" s="12"/>
      <c r="F33" s="13"/>
      <c r="H33" s="5"/>
      <c r="I33" s="11" t="s">
        <v>1</v>
      </c>
      <c r="J33" s="12"/>
      <c r="K33" s="12"/>
      <c r="L33" s="13"/>
    </row>
    <row r="34" spans="2:12" x14ac:dyDescent="0.25">
      <c r="B34" s="5"/>
      <c r="C34" s="14"/>
      <c r="D34" t="s">
        <v>2</v>
      </c>
      <c r="F34" s="7" t="s">
        <v>3</v>
      </c>
      <c r="H34" s="5"/>
      <c r="I34" s="14"/>
      <c r="J34" t="s">
        <v>2</v>
      </c>
      <c r="L34" s="7" t="s">
        <v>3</v>
      </c>
    </row>
    <row r="35" spans="2:12" x14ac:dyDescent="0.25">
      <c r="B35" s="5"/>
      <c r="C35" s="14" t="s">
        <v>4</v>
      </c>
      <c r="D35">
        <v>57.124000000000002</v>
      </c>
      <c r="F35" s="20">
        <v>485.42099999999999</v>
      </c>
      <c r="H35" s="5"/>
      <c r="I35" s="14" t="s">
        <v>4</v>
      </c>
      <c r="J35">
        <v>65.477999999999994</v>
      </c>
      <c r="L35" s="20">
        <v>509.48</v>
      </c>
    </row>
    <row r="36" spans="2:12" x14ac:dyDescent="0.25">
      <c r="B36" s="5"/>
      <c r="C36" s="14" t="s">
        <v>5</v>
      </c>
      <c r="D36">
        <v>41.124000000000002</v>
      </c>
      <c r="F36" s="21">
        <v>169.124</v>
      </c>
      <c r="H36" s="5"/>
      <c r="I36" s="14" t="s">
        <v>5</v>
      </c>
      <c r="J36">
        <v>45.731000000000002</v>
      </c>
      <c r="L36" s="21">
        <v>175.22300000000001</v>
      </c>
    </row>
    <row r="37" spans="2:12" ht="15.75" thickBot="1" x14ac:dyDescent="0.3">
      <c r="B37" s="5"/>
      <c r="C37" s="16" t="s">
        <v>6</v>
      </c>
      <c r="D37">
        <v>50.152000000000001</v>
      </c>
      <c r="E37" s="17"/>
      <c r="F37" s="21">
        <v>154.25399999999999</v>
      </c>
      <c r="H37" s="5"/>
      <c r="I37" s="16" t="s">
        <v>6</v>
      </c>
      <c r="J37">
        <v>54.41</v>
      </c>
      <c r="K37" s="17"/>
      <c r="L37" s="21">
        <v>162.80199999999999</v>
      </c>
    </row>
    <row r="38" spans="2:12" ht="15.75" thickBot="1" x14ac:dyDescent="0.3">
      <c r="B38" s="5"/>
      <c r="D38" s="19">
        <v>148.4</v>
      </c>
      <c r="F38" s="19">
        <v>808.79899999999998</v>
      </c>
      <c r="H38" s="5"/>
      <c r="J38" s="29">
        <v>165.619</v>
      </c>
      <c r="L38" s="19">
        <v>847.505</v>
      </c>
    </row>
    <row r="39" spans="2:12" x14ac:dyDescent="0.25">
      <c r="B39" s="22" t="s">
        <v>8</v>
      </c>
      <c r="C39" s="23"/>
      <c r="D39" s="23"/>
      <c r="E39" s="23"/>
      <c r="F39" s="7"/>
      <c r="H39" s="22" t="s">
        <v>8</v>
      </c>
      <c r="I39" s="23"/>
      <c r="J39" s="23"/>
      <c r="K39" s="23">
        <f>J31-D31</f>
        <v>84.815000000000055</v>
      </c>
      <c r="L39" s="7"/>
    </row>
    <row r="40" spans="2:12" ht="15.75" thickBot="1" x14ac:dyDescent="0.3">
      <c r="B40" s="24" t="s">
        <v>9</v>
      </c>
      <c r="C40" s="25"/>
      <c r="D40" s="25"/>
      <c r="E40" s="25"/>
      <c r="F40" s="26"/>
      <c r="H40" s="24" t="s">
        <v>9</v>
      </c>
      <c r="I40" s="25"/>
      <c r="J40" s="25"/>
      <c r="K40" s="25">
        <f>L38-F38</f>
        <v>38.706000000000017</v>
      </c>
      <c r="L40" s="26"/>
    </row>
    <row r="41" spans="2:12" x14ac:dyDescent="0.25">
      <c r="B41" s="27" t="s">
        <v>10</v>
      </c>
      <c r="C41" s="27"/>
      <c r="D41" s="27"/>
      <c r="E41" s="27"/>
      <c r="H41" s="27" t="s">
        <v>10</v>
      </c>
      <c r="I41" s="27"/>
      <c r="J41" s="27"/>
      <c r="K41" s="30">
        <f>J38-D38</f>
        <v>17.218999999999994</v>
      </c>
    </row>
    <row r="43" spans="2:12" ht="15.75" thickBot="1" x14ac:dyDescent="0.3"/>
    <row r="44" spans="2:12" x14ac:dyDescent="0.25">
      <c r="B44" s="1"/>
      <c r="C44" s="2"/>
      <c r="D44" s="3">
        <v>44664</v>
      </c>
      <c r="E44" s="2"/>
      <c r="F44" s="4"/>
      <c r="H44" s="1"/>
      <c r="I44" s="2"/>
      <c r="J44" s="3">
        <v>44672</v>
      </c>
      <c r="K44" s="2"/>
      <c r="L44" s="4"/>
    </row>
    <row r="45" spans="2:12" x14ac:dyDescent="0.25">
      <c r="B45" s="5"/>
      <c r="D45" s="6"/>
      <c r="F45" s="7"/>
      <c r="H45" s="5"/>
      <c r="J45" s="6"/>
      <c r="L45" s="7"/>
    </row>
    <row r="46" spans="2:12" x14ac:dyDescent="0.25">
      <c r="B46" s="5"/>
      <c r="C46" s="8" t="s">
        <v>0</v>
      </c>
      <c r="D46" s="9"/>
      <c r="E46" s="9"/>
      <c r="F46" s="10"/>
      <c r="H46" s="5"/>
      <c r="I46" s="8" t="s">
        <v>0</v>
      </c>
      <c r="J46" s="9"/>
      <c r="K46" s="9"/>
      <c r="L46" s="10"/>
    </row>
    <row r="47" spans="2:12" x14ac:dyDescent="0.25">
      <c r="B47" s="5"/>
      <c r="C47" s="11" t="s">
        <v>1</v>
      </c>
      <c r="D47" s="12"/>
      <c r="E47" s="12"/>
      <c r="F47" s="13"/>
      <c r="H47" s="5"/>
      <c r="I47" s="11" t="s">
        <v>1</v>
      </c>
      <c r="J47" s="12"/>
      <c r="K47" s="12"/>
      <c r="L47" s="13"/>
    </row>
    <row r="48" spans="2:12" x14ac:dyDescent="0.25">
      <c r="B48" s="5"/>
      <c r="C48" s="14"/>
      <c r="D48" t="s">
        <v>2</v>
      </c>
      <c r="F48" s="7" t="s">
        <v>3</v>
      </c>
      <c r="H48" s="5"/>
      <c r="I48" s="14"/>
      <c r="J48" t="s">
        <v>2</v>
      </c>
      <c r="L48" s="7" t="s">
        <v>3</v>
      </c>
    </row>
    <row r="49" spans="2:12" x14ac:dyDescent="0.25">
      <c r="B49" s="5"/>
      <c r="C49" s="14" t="s">
        <v>4</v>
      </c>
      <c r="D49">
        <v>1766.444</v>
      </c>
      <c r="F49" s="15">
        <v>1.4999999999999999E-2</v>
      </c>
      <c r="H49" s="5"/>
      <c r="I49" s="14" t="s">
        <v>4</v>
      </c>
      <c r="J49">
        <v>1805.8910000000001</v>
      </c>
      <c r="L49" s="15">
        <v>1.4999999999999999E-2</v>
      </c>
    </row>
    <row r="50" spans="2:12" x14ac:dyDescent="0.25">
      <c r="B50" s="5"/>
      <c r="C50" s="14" t="s">
        <v>5</v>
      </c>
      <c r="D50">
        <v>392.90699999999998</v>
      </c>
      <c r="F50" s="15">
        <v>4.1000000000000002E-2</v>
      </c>
      <c r="H50" s="5"/>
      <c r="I50" s="14" t="s">
        <v>5</v>
      </c>
      <c r="J50">
        <v>402.92200000000003</v>
      </c>
      <c r="L50" s="15">
        <v>4.2000000000000003E-2</v>
      </c>
    </row>
    <row r="51" spans="2:12" ht="15.75" thickBot="1" x14ac:dyDescent="0.3">
      <c r="B51" s="5"/>
      <c r="C51" s="16" t="s">
        <v>6</v>
      </c>
      <c r="D51">
        <v>393.92099999999999</v>
      </c>
      <c r="E51" s="17"/>
      <c r="F51" s="18">
        <v>6.0999999999999999E-2</v>
      </c>
      <c r="H51" s="5"/>
      <c r="I51" s="16" t="s">
        <v>6</v>
      </c>
      <c r="J51">
        <v>414.61900000000003</v>
      </c>
      <c r="K51" s="17"/>
      <c r="L51" s="18">
        <v>6.2E-2</v>
      </c>
    </row>
    <row r="52" spans="2:12" ht="15.75" thickBot="1" x14ac:dyDescent="0.3">
      <c r="B52" s="5"/>
      <c r="D52" s="19">
        <v>2553.2719999999999</v>
      </c>
      <c r="F52" s="19">
        <v>0.11700000000000001</v>
      </c>
      <c r="H52" s="5"/>
      <c r="J52" s="19">
        <v>2623.4319999999998</v>
      </c>
      <c r="L52" s="19">
        <v>0.11899999999999999</v>
      </c>
    </row>
    <row r="53" spans="2:12" x14ac:dyDescent="0.25">
      <c r="B53" s="5"/>
      <c r="C53" s="8" t="s">
        <v>7</v>
      </c>
      <c r="D53" s="12"/>
      <c r="E53" s="9"/>
      <c r="F53" s="10"/>
      <c r="H53" s="5"/>
      <c r="I53" s="8" t="s">
        <v>7</v>
      </c>
      <c r="J53" s="12"/>
      <c r="K53" s="9"/>
      <c r="L53" s="10"/>
    </row>
    <row r="54" spans="2:12" x14ac:dyDescent="0.25">
      <c r="B54" s="5"/>
      <c r="C54" s="11" t="s">
        <v>1</v>
      </c>
      <c r="D54" s="12"/>
      <c r="E54" s="12"/>
      <c r="F54" s="13"/>
      <c r="H54" s="5"/>
      <c r="I54" s="11" t="s">
        <v>1</v>
      </c>
      <c r="J54" s="12"/>
      <c r="K54" s="12"/>
      <c r="L54" s="13"/>
    </row>
    <row r="55" spans="2:12" x14ac:dyDescent="0.25">
      <c r="B55" s="5"/>
      <c r="C55" s="14"/>
      <c r="D55" t="s">
        <v>2</v>
      </c>
      <c r="F55" s="7" t="s">
        <v>3</v>
      </c>
      <c r="H55" s="5"/>
      <c r="I55" s="14"/>
      <c r="J55" t="s">
        <v>2</v>
      </c>
      <c r="L55" s="7" t="s">
        <v>3</v>
      </c>
    </row>
    <row r="56" spans="2:12" x14ac:dyDescent="0.25">
      <c r="B56" s="5"/>
      <c r="C56" s="14" t="s">
        <v>4</v>
      </c>
      <c r="D56">
        <v>87.703000000000003</v>
      </c>
      <c r="F56" s="20">
        <v>518.505</v>
      </c>
      <c r="H56" s="5"/>
      <c r="I56" s="14" t="s">
        <v>4</v>
      </c>
      <c r="J56">
        <v>110.562</v>
      </c>
      <c r="L56" s="20">
        <v>519.70399999999995</v>
      </c>
    </row>
    <row r="57" spans="2:12" x14ac:dyDescent="0.25">
      <c r="B57" s="5"/>
      <c r="C57" s="14" t="s">
        <v>5</v>
      </c>
      <c r="D57">
        <v>49.545000000000002</v>
      </c>
      <c r="F57" s="21">
        <v>184.02500000000001</v>
      </c>
      <c r="H57" s="5"/>
      <c r="I57" s="14" t="s">
        <v>5</v>
      </c>
      <c r="J57">
        <v>58.265999999999998</v>
      </c>
      <c r="L57" s="21">
        <v>188.06700000000001</v>
      </c>
    </row>
    <row r="58" spans="2:12" ht="15.75" thickBot="1" x14ac:dyDescent="0.3">
      <c r="B58" s="5"/>
      <c r="C58" s="16" t="s">
        <v>6</v>
      </c>
      <c r="D58">
        <v>63.720999999999997</v>
      </c>
      <c r="E58" s="17"/>
      <c r="F58" s="21">
        <v>174.28700000000001</v>
      </c>
      <c r="H58" s="5"/>
      <c r="I58" s="16" t="s">
        <v>6</v>
      </c>
      <c r="J58">
        <v>82.64</v>
      </c>
      <c r="K58" s="17"/>
      <c r="L58" s="21">
        <v>183.99</v>
      </c>
    </row>
    <row r="59" spans="2:12" ht="15.75" thickBot="1" x14ac:dyDescent="0.3">
      <c r="B59" s="5"/>
      <c r="D59" s="19">
        <v>200.96899999999999</v>
      </c>
      <c r="F59" s="19">
        <v>876.81700000000001</v>
      </c>
      <c r="H59" s="5"/>
      <c r="J59" s="19">
        <v>251.46799999999999</v>
      </c>
      <c r="L59" s="19">
        <v>891.76099999999997</v>
      </c>
    </row>
    <row r="60" spans="2:12" x14ac:dyDescent="0.25">
      <c r="B60" s="22" t="s">
        <v>8</v>
      </c>
      <c r="C60" s="23"/>
      <c r="D60" s="23"/>
      <c r="E60" s="23">
        <f>D52-J31</f>
        <v>61.405999999999949</v>
      </c>
      <c r="F60" s="7"/>
      <c r="H60" s="22" t="s">
        <v>8</v>
      </c>
      <c r="I60" s="23"/>
      <c r="J60" s="23"/>
      <c r="K60" s="23">
        <f>J52-D52</f>
        <v>70.159999999999854</v>
      </c>
      <c r="L60" s="7"/>
    </row>
    <row r="61" spans="2:12" ht="15.75" thickBot="1" x14ac:dyDescent="0.3">
      <c r="B61" s="24" t="s">
        <v>9</v>
      </c>
      <c r="C61" s="25"/>
      <c r="D61" s="25"/>
      <c r="E61" s="25">
        <f>F59-L38</f>
        <v>29.312000000000012</v>
      </c>
      <c r="F61" s="26"/>
      <c r="H61" s="24" t="s">
        <v>9</v>
      </c>
      <c r="I61" s="25"/>
      <c r="J61" s="25"/>
      <c r="K61" s="25">
        <f>L59-F59</f>
        <v>14.94399999999996</v>
      </c>
      <c r="L61" s="26"/>
    </row>
    <row r="62" spans="2:12" x14ac:dyDescent="0.25">
      <c r="B62" s="27" t="s">
        <v>10</v>
      </c>
      <c r="C62" s="27"/>
      <c r="D62" s="27"/>
      <c r="E62" s="30">
        <f>D59-J38</f>
        <v>35.349999999999994</v>
      </c>
      <c r="H62" s="27" t="s">
        <v>10</v>
      </c>
      <c r="I62" s="27"/>
      <c r="J62" s="27"/>
      <c r="K62" s="27">
        <f>J59-D59</f>
        <v>50.498999999999995</v>
      </c>
    </row>
    <row r="64" spans="2:12" ht="15.75" thickBot="1" x14ac:dyDescent="0.3"/>
    <row r="65" spans="2:12" x14ac:dyDescent="0.25">
      <c r="B65" s="1"/>
      <c r="C65" s="2"/>
      <c r="D65" s="3">
        <v>44681</v>
      </c>
      <c r="E65" s="2"/>
      <c r="F65" s="4"/>
      <c r="H65" s="1"/>
      <c r="I65" s="2"/>
      <c r="J65" s="3">
        <v>44690</v>
      </c>
      <c r="K65" s="2"/>
      <c r="L65" s="4"/>
    </row>
    <row r="66" spans="2:12" x14ac:dyDescent="0.25">
      <c r="B66" s="5"/>
      <c r="D66" s="6"/>
      <c r="F66" s="7"/>
      <c r="H66" s="5"/>
      <c r="J66" s="6"/>
      <c r="L66" s="7"/>
    </row>
    <row r="67" spans="2:12" x14ac:dyDescent="0.25">
      <c r="B67" s="5"/>
      <c r="C67" s="8" t="s">
        <v>0</v>
      </c>
      <c r="D67" s="9"/>
      <c r="E67" s="9"/>
      <c r="F67" s="10"/>
      <c r="H67" s="5"/>
      <c r="I67" s="8" t="s">
        <v>0</v>
      </c>
      <c r="J67" s="9"/>
      <c r="K67" s="9"/>
      <c r="L67" s="10"/>
    </row>
    <row r="68" spans="2:12" x14ac:dyDescent="0.25">
      <c r="B68" s="5"/>
      <c r="C68" s="11" t="s">
        <v>1</v>
      </c>
      <c r="D68" s="12"/>
      <c r="E68" s="12"/>
      <c r="F68" s="13"/>
      <c r="H68" s="5"/>
      <c r="I68" s="11" t="s">
        <v>1</v>
      </c>
      <c r="J68" s="12"/>
      <c r="K68" s="12"/>
      <c r="L68" s="13"/>
    </row>
    <row r="69" spans="2:12" x14ac:dyDescent="0.25">
      <c r="B69" s="5"/>
      <c r="C69" s="14"/>
      <c r="D69" t="s">
        <v>2</v>
      </c>
      <c r="F69" s="7" t="s">
        <v>3</v>
      </c>
      <c r="H69" s="5"/>
      <c r="I69" s="14"/>
      <c r="J69" t="s">
        <v>2</v>
      </c>
      <c r="L69" s="7" t="s">
        <v>3</v>
      </c>
    </row>
    <row r="70" spans="2:12" x14ac:dyDescent="0.25">
      <c r="B70" s="5"/>
      <c r="C70" s="14" t="s">
        <v>4</v>
      </c>
      <c r="D70">
        <v>1859.4860000000001</v>
      </c>
      <c r="F70" s="15">
        <v>1.4999999999999999E-2</v>
      </c>
      <c r="H70" s="5"/>
      <c r="I70" s="14" t="s">
        <v>4</v>
      </c>
      <c r="J70">
        <v>1888.5050000000001</v>
      </c>
      <c r="L70" s="15">
        <v>1.4999999999999999E-2</v>
      </c>
    </row>
    <row r="71" spans="2:12" x14ac:dyDescent="0.25">
      <c r="B71" s="5"/>
      <c r="C71" s="14" t="s">
        <v>5</v>
      </c>
      <c r="D71">
        <v>420.14699999999999</v>
      </c>
      <c r="F71" s="15">
        <v>4.2000000000000003E-2</v>
      </c>
      <c r="H71" s="5"/>
      <c r="I71" s="14" t="s">
        <v>5</v>
      </c>
      <c r="J71">
        <v>428.35500000000002</v>
      </c>
      <c r="L71" s="15">
        <v>4.2000000000000003E-2</v>
      </c>
    </row>
    <row r="72" spans="2:12" ht="15.75" thickBot="1" x14ac:dyDescent="0.3">
      <c r="B72" s="5"/>
      <c r="C72" s="16" t="s">
        <v>6</v>
      </c>
      <c r="D72">
        <v>428.524</v>
      </c>
      <c r="E72" s="17"/>
      <c r="F72" s="18">
        <v>6.3E-2</v>
      </c>
      <c r="H72" s="5"/>
      <c r="I72" s="16" t="s">
        <v>6</v>
      </c>
      <c r="J72">
        <v>445.24200000000002</v>
      </c>
      <c r="K72" s="17"/>
      <c r="L72" s="18">
        <v>6.6000000000000003E-2</v>
      </c>
    </row>
    <row r="73" spans="2:12" ht="15.75" thickBot="1" x14ac:dyDescent="0.3">
      <c r="B73" s="5"/>
      <c r="D73" s="19">
        <v>2708.1570000000002</v>
      </c>
      <c r="F73" s="19">
        <v>0.12</v>
      </c>
      <c r="H73" s="5"/>
      <c r="J73" s="19">
        <v>2762.1019999999999</v>
      </c>
      <c r="L73" s="19">
        <v>0.123</v>
      </c>
    </row>
    <row r="74" spans="2:12" x14ac:dyDescent="0.25">
      <c r="B74" s="5"/>
      <c r="C74" s="8" t="s">
        <v>7</v>
      </c>
      <c r="D74" s="12"/>
      <c r="E74" s="9"/>
      <c r="F74" s="10"/>
      <c r="H74" s="5"/>
      <c r="I74" s="8" t="s">
        <v>7</v>
      </c>
      <c r="J74" s="12"/>
      <c r="K74" s="9"/>
      <c r="L74" s="10"/>
    </row>
    <row r="75" spans="2:12" x14ac:dyDescent="0.25">
      <c r="B75" s="5"/>
      <c r="C75" s="11" t="s">
        <v>1</v>
      </c>
      <c r="D75" s="12"/>
      <c r="E75" s="12"/>
      <c r="F75" s="13"/>
      <c r="H75" s="5"/>
      <c r="I75" s="11" t="s">
        <v>1</v>
      </c>
      <c r="J75" s="12"/>
      <c r="K75" s="12"/>
      <c r="L75" s="13"/>
    </row>
    <row r="76" spans="2:12" x14ac:dyDescent="0.25">
      <c r="B76" s="5"/>
      <c r="C76" s="14"/>
      <c r="D76" t="s">
        <v>2</v>
      </c>
      <c r="F76" s="7" t="s">
        <v>3</v>
      </c>
      <c r="H76" s="5"/>
      <c r="I76" s="14"/>
      <c r="J76" t="s">
        <v>2</v>
      </c>
      <c r="L76" s="7" t="s">
        <v>3</v>
      </c>
    </row>
    <row r="77" spans="2:12" x14ac:dyDescent="0.25">
      <c r="B77" s="5"/>
      <c r="C77" s="14" t="s">
        <v>4</v>
      </c>
      <c r="D77">
        <v>130.91499999999999</v>
      </c>
      <c r="F77" s="20">
        <v>530.15099999999995</v>
      </c>
      <c r="H77" s="5"/>
      <c r="I77" s="14" t="s">
        <v>4</v>
      </c>
      <c r="J77">
        <v>139.54300000000001</v>
      </c>
      <c r="L77" s="20">
        <v>543.85599999999999</v>
      </c>
    </row>
    <row r="78" spans="2:12" x14ac:dyDescent="0.25">
      <c r="B78" s="5"/>
      <c r="C78" s="14" t="s">
        <v>5</v>
      </c>
      <c r="D78">
        <v>68.135999999999996</v>
      </c>
      <c r="F78" s="21">
        <v>199.02099999999999</v>
      </c>
      <c r="H78" s="5"/>
      <c r="I78" s="14" t="s">
        <v>5</v>
      </c>
      <c r="J78">
        <v>79.701999999999998</v>
      </c>
      <c r="L78" s="21">
        <v>206.90899999999999</v>
      </c>
    </row>
    <row r="79" spans="2:12" ht="15.75" thickBot="1" x14ac:dyDescent="0.3">
      <c r="B79" s="5"/>
      <c r="C79" s="16" t="s">
        <v>6</v>
      </c>
      <c r="D79">
        <v>97.641000000000005</v>
      </c>
      <c r="E79" s="17"/>
      <c r="F79" s="21">
        <v>200.624</v>
      </c>
      <c r="H79" s="5"/>
      <c r="I79" s="16" t="s">
        <v>6</v>
      </c>
      <c r="J79">
        <v>109.592</v>
      </c>
      <c r="K79" s="17"/>
      <c r="L79" s="21">
        <v>213.26499999999999</v>
      </c>
    </row>
    <row r="80" spans="2:12" ht="15.75" thickBot="1" x14ac:dyDescent="0.3">
      <c r="B80" s="5"/>
      <c r="D80" s="19">
        <v>296.69200000000001</v>
      </c>
      <c r="F80" s="19">
        <v>929.79600000000005</v>
      </c>
      <c r="H80" s="5"/>
      <c r="J80" s="19">
        <v>328.83699999999999</v>
      </c>
      <c r="L80" s="19">
        <v>964.03</v>
      </c>
    </row>
    <row r="81" spans="2:12" x14ac:dyDescent="0.25">
      <c r="B81" s="22" t="s">
        <v>8</v>
      </c>
      <c r="C81" s="23"/>
      <c r="D81" s="23"/>
      <c r="E81" s="23">
        <f>D73-J52</f>
        <v>84.725000000000364</v>
      </c>
      <c r="F81" s="7"/>
      <c r="H81" s="22" t="s">
        <v>8</v>
      </c>
      <c r="I81" s="23"/>
      <c r="J81" s="23"/>
      <c r="K81" s="23">
        <f>J73-D73</f>
        <v>53.944999999999709</v>
      </c>
      <c r="L81" s="7"/>
    </row>
    <row r="82" spans="2:12" ht="15.75" thickBot="1" x14ac:dyDescent="0.3">
      <c r="B82" s="24" t="s">
        <v>9</v>
      </c>
      <c r="C82" s="25"/>
      <c r="D82" s="25"/>
      <c r="E82" s="25">
        <f>F80-L59</f>
        <v>38.035000000000082</v>
      </c>
      <c r="F82" s="26"/>
      <c r="H82" s="24" t="s">
        <v>9</v>
      </c>
      <c r="I82" s="25"/>
      <c r="J82" s="25"/>
      <c r="K82" s="25">
        <f>L80-F80</f>
        <v>34.233999999999924</v>
      </c>
      <c r="L82" s="26"/>
    </row>
    <row r="83" spans="2:12" x14ac:dyDescent="0.25">
      <c r="B83" s="27" t="s">
        <v>10</v>
      </c>
      <c r="C83" s="27"/>
      <c r="D83" s="27"/>
      <c r="E83" s="27">
        <f>D80-J59</f>
        <v>45.224000000000018</v>
      </c>
      <c r="H83" s="27" t="s">
        <v>10</v>
      </c>
      <c r="I83" s="27"/>
      <c r="J83" s="27"/>
      <c r="K83" s="27">
        <f>J80-D80</f>
        <v>32.144999999999982</v>
      </c>
    </row>
    <row r="85" spans="2:12" ht="15.75" thickBot="1" x14ac:dyDescent="0.3"/>
    <row r="86" spans="2:12" x14ac:dyDescent="0.25">
      <c r="B86" s="1"/>
      <c r="C86" s="2"/>
      <c r="D86" s="3">
        <v>44697</v>
      </c>
      <c r="E86" s="2"/>
      <c r="F86" s="4"/>
      <c r="H86" s="1"/>
      <c r="I86" s="2"/>
      <c r="J86" s="3">
        <v>44704</v>
      </c>
      <c r="K86" s="2"/>
      <c r="L86" s="4"/>
    </row>
    <row r="87" spans="2:12" x14ac:dyDescent="0.25">
      <c r="B87" s="5"/>
      <c r="D87" s="6"/>
      <c r="F87" s="7"/>
      <c r="H87" s="5"/>
      <c r="J87" s="6"/>
      <c r="L87" s="7"/>
    </row>
    <row r="88" spans="2:12" x14ac:dyDescent="0.25">
      <c r="B88" s="5"/>
      <c r="C88" s="8" t="s">
        <v>0</v>
      </c>
      <c r="D88" s="9"/>
      <c r="E88" s="9"/>
      <c r="F88" s="10"/>
      <c r="H88" s="5"/>
      <c r="I88" s="8" t="s">
        <v>0</v>
      </c>
      <c r="J88" s="9"/>
      <c r="K88" s="9"/>
      <c r="L88" s="10"/>
    </row>
    <row r="89" spans="2:12" x14ac:dyDescent="0.25">
      <c r="B89" s="5"/>
      <c r="C89" s="11" t="s">
        <v>1</v>
      </c>
      <c r="D89" s="12"/>
      <c r="E89" s="12"/>
      <c r="F89" s="13"/>
      <c r="H89" s="5"/>
      <c r="I89" s="11" t="s">
        <v>1</v>
      </c>
      <c r="J89" s="12"/>
      <c r="K89" s="12"/>
      <c r="L89" s="13"/>
    </row>
    <row r="90" spans="2:12" x14ac:dyDescent="0.25">
      <c r="B90" s="5"/>
      <c r="C90" s="14"/>
      <c r="D90" t="s">
        <v>2</v>
      </c>
      <c r="F90" s="7" t="s">
        <v>3</v>
      </c>
      <c r="H90" s="5"/>
      <c r="I90" s="14"/>
      <c r="J90" t="s">
        <v>2</v>
      </c>
      <c r="L90" s="7" t="s">
        <v>3</v>
      </c>
    </row>
    <row r="91" spans="2:12" x14ac:dyDescent="0.25">
      <c r="B91" s="5"/>
      <c r="C91" s="14" t="s">
        <v>4</v>
      </c>
      <c r="D91">
        <v>1937.5309999999999</v>
      </c>
      <c r="F91" s="15">
        <v>1.4999999999999999E-2</v>
      </c>
      <c r="H91" s="5"/>
      <c r="I91" s="14" t="s">
        <v>4</v>
      </c>
      <c r="J91">
        <v>1989.7829999999999</v>
      </c>
      <c r="L91" s="15">
        <v>1.4999999999999999E-2</v>
      </c>
    </row>
    <row r="92" spans="2:12" x14ac:dyDescent="0.25">
      <c r="B92" s="5"/>
      <c r="C92" s="14" t="s">
        <v>5</v>
      </c>
      <c r="D92">
        <v>440.15199999999999</v>
      </c>
      <c r="F92" s="15">
        <v>4.2999999999999997E-2</v>
      </c>
      <c r="H92" s="5"/>
      <c r="I92" s="14" t="s">
        <v>5</v>
      </c>
      <c r="J92">
        <v>453.11099999999999</v>
      </c>
      <c r="L92" s="15">
        <v>4.3999999999999997E-2</v>
      </c>
    </row>
    <row r="93" spans="2:12" ht="15.75" thickBot="1" x14ac:dyDescent="0.3">
      <c r="B93" s="5"/>
      <c r="C93" s="16" t="s">
        <v>6</v>
      </c>
      <c r="D93">
        <v>456.80900000000003</v>
      </c>
      <c r="E93" s="17"/>
      <c r="F93" s="18">
        <v>6.7000000000000004E-2</v>
      </c>
      <c r="H93" s="5"/>
      <c r="I93" s="16" t="s">
        <v>6</v>
      </c>
      <c r="J93">
        <v>468.05599999999998</v>
      </c>
      <c r="K93" s="17"/>
      <c r="L93" s="18">
        <v>6.9000000000000006E-2</v>
      </c>
    </row>
    <row r="94" spans="2:12" ht="15.75" thickBot="1" x14ac:dyDescent="0.3">
      <c r="B94" s="5"/>
      <c r="D94" s="19">
        <v>2834.4920000000002</v>
      </c>
      <c r="F94" s="19">
        <v>0.125</v>
      </c>
      <c r="H94" s="5"/>
      <c r="J94" s="19">
        <v>2910.95</v>
      </c>
      <c r="L94" s="19">
        <v>0.128</v>
      </c>
    </row>
    <row r="95" spans="2:12" x14ac:dyDescent="0.25">
      <c r="B95" s="5"/>
      <c r="C95" s="8" t="s">
        <v>7</v>
      </c>
      <c r="D95" s="12"/>
      <c r="E95" s="9"/>
      <c r="F95" s="10"/>
      <c r="H95" s="5"/>
      <c r="I95" s="8" t="s">
        <v>7</v>
      </c>
      <c r="J95" s="12"/>
      <c r="K95" s="9"/>
      <c r="L95" s="10"/>
    </row>
    <row r="96" spans="2:12" x14ac:dyDescent="0.25">
      <c r="B96" s="5"/>
      <c r="C96" s="11" t="s">
        <v>1</v>
      </c>
      <c r="D96" s="12"/>
      <c r="E96" s="12"/>
      <c r="F96" s="13"/>
      <c r="H96" s="5"/>
      <c r="I96" s="11" t="s">
        <v>1</v>
      </c>
      <c r="J96" s="12"/>
      <c r="K96" s="12"/>
      <c r="L96" s="13"/>
    </row>
    <row r="97" spans="2:12" x14ac:dyDescent="0.25">
      <c r="B97" s="5"/>
      <c r="C97" s="14"/>
      <c r="D97" t="s">
        <v>2</v>
      </c>
      <c r="F97" s="7" t="s">
        <v>3</v>
      </c>
      <c r="H97" s="5"/>
      <c r="I97" s="14"/>
      <c r="J97" t="s">
        <v>2</v>
      </c>
      <c r="L97" s="7" t="s">
        <v>3</v>
      </c>
    </row>
    <row r="98" spans="2:12" x14ac:dyDescent="0.25">
      <c r="B98" s="5"/>
      <c r="C98" s="14" t="s">
        <v>4</v>
      </c>
      <c r="D98">
        <v>162.739</v>
      </c>
      <c r="F98" s="20">
        <v>547.08100000000002</v>
      </c>
      <c r="H98" s="5"/>
      <c r="I98" s="14" t="s">
        <v>4</v>
      </c>
      <c r="J98">
        <v>184.279</v>
      </c>
      <c r="L98" s="20">
        <v>554.25099999999998</v>
      </c>
    </row>
    <row r="99" spans="2:12" x14ac:dyDescent="0.25">
      <c r="B99" s="5"/>
      <c r="C99" s="14" t="s">
        <v>5</v>
      </c>
      <c r="D99">
        <v>89.614000000000004</v>
      </c>
      <c r="F99" s="21">
        <v>211.166</v>
      </c>
      <c r="H99" s="5"/>
      <c r="I99" s="14" t="s">
        <v>5</v>
      </c>
      <c r="J99">
        <v>100.621</v>
      </c>
      <c r="L99" s="21">
        <v>217.90600000000001</v>
      </c>
    </row>
    <row r="100" spans="2:12" ht="15.75" thickBot="1" x14ac:dyDescent="0.3">
      <c r="B100" s="5"/>
      <c r="C100" s="16" t="s">
        <v>6</v>
      </c>
      <c r="D100">
        <v>120.042</v>
      </c>
      <c r="E100" s="17"/>
      <c r="F100" s="21">
        <v>219.35300000000001</v>
      </c>
      <c r="H100" s="5"/>
      <c r="I100" s="16" t="s">
        <v>6</v>
      </c>
      <c r="J100">
        <v>130.15700000000001</v>
      </c>
      <c r="K100" s="17"/>
      <c r="L100" s="21">
        <v>228.971</v>
      </c>
    </row>
    <row r="101" spans="2:12" ht="15.75" thickBot="1" x14ac:dyDescent="0.3">
      <c r="B101" s="5"/>
      <c r="D101" s="19">
        <v>372.39499999999998</v>
      </c>
      <c r="F101" s="19">
        <v>977.6</v>
      </c>
      <c r="H101" s="5"/>
      <c r="J101" s="19">
        <v>415.05700000000002</v>
      </c>
      <c r="L101" s="19">
        <v>1001.128</v>
      </c>
    </row>
    <row r="102" spans="2:12" x14ac:dyDescent="0.25">
      <c r="B102" s="22" t="s">
        <v>8</v>
      </c>
      <c r="C102" s="23"/>
      <c r="D102" s="23"/>
      <c r="E102" s="23">
        <f>D94-J73</f>
        <v>72.390000000000327</v>
      </c>
      <c r="F102" s="7"/>
      <c r="H102" s="22" t="s">
        <v>8</v>
      </c>
      <c r="I102" s="23"/>
      <c r="J102" s="23"/>
      <c r="K102" s="23">
        <f>J94-D94</f>
        <v>76.457999999999629</v>
      </c>
      <c r="L102" s="7"/>
    </row>
    <row r="103" spans="2:12" ht="15.75" thickBot="1" x14ac:dyDescent="0.3">
      <c r="B103" s="24" t="s">
        <v>9</v>
      </c>
      <c r="C103" s="25"/>
      <c r="D103" s="25"/>
      <c r="E103" s="25">
        <f>F101-L80</f>
        <v>13.57000000000005</v>
      </c>
      <c r="F103" s="26"/>
      <c r="H103" s="24" t="s">
        <v>9</v>
      </c>
      <c r="I103" s="25"/>
      <c r="J103" s="25"/>
      <c r="K103" s="25">
        <f>L101-F101</f>
        <v>23.52800000000002</v>
      </c>
      <c r="L103" s="26"/>
    </row>
    <row r="104" spans="2:12" x14ac:dyDescent="0.25">
      <c r="B104" s="27" t="s">
        <v>10</v>
      </c>
      <c r="C104" s="27"/>
      <c r="D104" s="27"/>
      <c r="E104" s="27">
        <f>D101-J80</f>
        <v>43.557999999999993</v>
      </c>
      <c r="H104" s="27" t="s">
        <v>10</v>
      </c>
      <c r="I104" s="27"/>
      <c r="J104" s="27"/>
      <c r="K104" s="27">
        <f>J101-D101</f>
        <v>42.662000000000035</v>
      </c>
    </row>
    <row r="106" spans="2:12" ht="15.75" thickBot="1" x14ac:dyDescent="0.3"/>
    <row r="107" spans="2:12" x14ac:dyDescent="0.25">
      <c r="B107" s="1"/>
      <c r="C107" s="2"/>
      <c r="D107" s="3">
        <v>44712</v>
      </c>
      <c r="E107" s="2"/>
      <c r="F107" s="4"/>
      <c r="H107" s="1"/>
      <c r="I107" s="2"/>
      <c r="J107" s="3">
        <v>44718</v>
      </c>
      <c r="K107" s="2"/>
      <c r="L107" s="4"/>
    </row>
    <row r="108" spans="2:12" x14ac:dyDescent="0.25">
      <c r="B108" s="5"/>
      <c r="D108" s="6"/>
      <c r="F108" s="7"/>
      <c r="H108" s="5"/>
      <c r="J108" s="6"/>
      <c r="L108" s="7"/>
    </row>
    <row r="109" spans="2:12" x14ac:dyDescent="0.25">
      <c r="B109" s="5"/>
      <c r="C109" s="8" t="s">
        <v>0</v>
      </c>
      <c r="D109" s="9"/>
      <c r="E109" s="9"/>
      <c r="F109" s="10"/>
      <c r="H109" s="5"/>
      <c r="I109" s="8" t="s">
        <v>0</v>
      </c>
      <c r="J109" s="9"/>
      <c r="K109" s="9"/>
      <c r="L109" s="10"/>
    </row>
    <row r="110" spans="2:12" x14ac:dyDescent="0.25">
      <c r="B110" s="5"/>
      <c r="C110" s="11" t="s">
        <v>1</v>
      </c>
      <c r="D110" s="12"/>
      <c r="E110" s="12"/>
      <c r="F110" s="13"/>
      <c r="H110" s="5"/>
      <c r="I110" s="11" t="s">
        <v>1</v>
      </c>
      <c r="J110" s="12"/>
      <c r="K110" s="12"/>
      <c r="L110" s="13"/>
    </row>
    <row r="111" spans="2:12" x14ac:dyDescent="0.25">
      <c r="B111" s="5"/>
      <c r="C111" s="14"/>
      <c r="D111" t="s">
        <v>2</v>
      </c>
      <c r="F111" s="7" t="s">
        <v>3</v>
      </c>
      <c r="H111" s="5"/>
      <c r="I111" s="14"/>
      <c r="J111" t="s">
        <v>2</v>
      </c>
      <c r="L111" s="7" t="s">
        <v>3</v>
      </c>
    </row>
    <row r="112" spans="2:12" x14ac:dyDescent="0.25">
      <c r="B112" s="5"/>
      <c r="C112" s="14" t="s">
        <v>4</v>
      </c>
      <c r="D112">
        <v>2043.836</v>
      </c>
      <c r="F112" s="15">
        <v>1.4999999999999999E-2</v>
      </c>
      <c r="H112" s="5"/>
      <c r="I112" s="14" t="s">
        <v>4</v>
      </c>
      <c r="J112">
        <v>2074.7220000000002</v>
      </c>
      <c r="L112" s="15">
        <v>1.4999999999999999E-2</v>
      </c>
    </row>
    <row r="113" spans="2:12" x14ac:dyDescent="0.25">
      <c r="B113" s="5"/>
      <c r="C113" s="14" t="s">
        <v>5</v>
      </c>
      <c r="D113">
        <v>461.49299999999999</v>
      </c>
      <c r="F113" s="15">
        <v>4.3999999999999997E-2</v>
      </c>
      <c r="H113" s="5"/>
      <c r="I113" s="14" t="s">
        <v>5</v>
      </c>
      <c r="J113">
        <v>471.99</v>
      </c>
      <c r="L113" s="15">
        <v>4.3999999999999997E-2</v>
      </c>
    </row>
    <row r="114" spans="2:12" ht="15.75" thickBot="1" x14ac:dyDescent="0.3">
      <c r="B114" s="5"/>
      <c r="C114" s="16" t="s">
        <v>6</v>
      </c>
      <c r="D114">
        <v>479.29700000000003</v>
      </c>
      <c r="E114" s="17"/>
      <c r="F114" s="18">
        <v>7.2999999999999995E-2</v>
      </c>
      <c r="H114" s="5"/>
      <c r="I114" s="16" t="s">
        <v>6</v>
      </c>
      <c r="J114">
        <v>499.20699999999999</v>
      </c>
      <c r="K114" s="17"/>
      <c r="L114" s="18">
        <v>7.3999999999999996E-2</v>
      </c>
    </row>
    <row r="115" spans="2:12" ht="15.75" thickBot="1" x14ac:dyDescent="0.3">
      <c r="B115" s="5"/>
      <c r="D115" s="19">
        <v>2984.6260000000002</v>
      </c>
      <c r="F115" s="19">
        <v>0.13200000000000001</v>
      </c>
      <c r="H115" s="5"/>
      <c r="J115" s="19">
        <v>3045.9189999999999</v>
      </c>
      <c r="L115" s="19">
        <v>0.13300000000000001</v>
      </c>
    </row>
    <row r="116" spans="2:12" x14ac:dyDescent="0.25">
      <c r="B116" s="5"/>
      <c r="C116" s="8" t="s">
        <v>7</v>
      </c>
      <c r="D116" s="12"/>
      <c r="E116" s="9"/>
      <c r="F116" s="10"/>
      <c r="H116" s="5"/>
      <c r="I116" s="8" t="s">
        <v>7</v>
      </c>
      <c r="J116" s="12"/>
      <c r="K116" s="9"/>
      <c r="L116" s="10"/>
    </row>
    <row r="117" spans="2:12" x14ac:dyDescent="0.25">
      <c r="B117" s="5"/>
      <c r="C117" s="11" t="s">
        <v>1</v>
      </c>
      <c r="D117" s="12"/>
      <c r="E117" s="12"/>
      <c r="F117" s="13"/>
      <c r="H117" s="5"/>
      <c r="I117" s="11" t="s">
        <v>1</v>
      </c>
      <c r="J117" s="12"/>
      <c r="K117" s="12"/>
      <c r="L117" s="13"/>
    </row>
    <row r="118" spans="2:12" x14ac:dyDescent="0.25">
      <c r="B118" s="5"/>
      <c r="C118" s="14"/>
      <c r="D118" t="s">
        <v>2</v>
      </c>
      <c r="F118" s="7" t="s">
        <v>3</v>
      </c>
      <c r="H118" s="5"/>
      <c r="I118" s="14"/>
      <c r="J118" t="s">
        <v>2</v>
      </c>
      <c r="L118" s="7" t="s">
        <v>3</v>
      </c>
    </row>
    <row r="119" spans="2:12" x14ac:dyDescent="0.25">
      <c r="B119" s="5"/>
      <c r="C119" s="14" t="s">
        <v>4</v>
      </c>
      <c r="D119">
        <v>207.643</v>
      </c>
      <c r="F119" s="20">
        <v>565.51900000000001</v>
      </c>
      <c r="H119" s="5"/>
      <c r="I119" s="14" t="s">
        <v>4</v>
      </c>
      <c r="J119">
        <v>226.46799999999999</v>
      </c>
      <c r="L119" s="20">
        <v>566.94899999999996</v>
      </c>
    </row>
    <row r="120" spans="2:12" x14ac:dyDescent="0.25">
      <c r="B120" s="5"/>
      <c r="C120" s="14" t="s">
        <v>5</v>
      </c>
      <c r="D120">
        <v>106.709</v>
      </c>
      <c r="F120" s="21">
        <v>224.452</v>
      </c>
      <c r="H120" s="5"/>
      <c r="I120" s="14" t="s">
        <v>5</v>
      </c>
      <c r="J120">
        <v>115.44</v>
      </c>
      <c r="L120" s="21">
        <v>228.339</v>
      </c>
    </row>
    <row r="121" spans="2:12" ht="15.75" thickBot="1" x14ac:dyDescent="0.3">
      <c r="B121" s="5"/>
      <c r="C121" s="16" t="s">
        <v>6</v>
      </c>
      <c r="D121">
        <v>140.01599999999999</v>
      </c>
      <c r="E121" s="17"/>
      <c r="F121" s="21">
        <v>238.96899999999999</v>
      </c>
      <c r="H121" s="5"/>
      <c r="I121" s="16" t="s">
        <v>6</v>
      </c>
      <c r="J121">
        <v>157.69900000000001</v>
      </c>
      <c r="K121" s="17"/>
      <c r="L121" s="21">
        <v>247.27</v>
      </c>
    </row>
    <row r="122" spans="2:12" ht="15.75" thickBot="1" x14ac:dyDescent="0.3">
      <c r="B122" s="5"/>
      <c r="D122" s="19">
        <v>454.36799999999999</v>
      </c>
      <c r="F122" s="19">
        <v>1028.94</v>
      </c>
      <c r="H122" s="5"/>
      <c r="J122" s="19">
        <v>499.60700000000003</v>
      </c>
      <c r="L122" s="19">
        <v>1042.558</v>
      </c>
    </row>
    <row r="123" spans="2:12" x14ac:dyDescent="0.25">
      <c r="B123" s="22" t="s">
        <v>8</v>
      </c>
      <c r="C123" s="23"/>
      <c r="D123" s="23"/>
      <c r="E123" s="23">
        <f>D115-J94</f>
        <v>73.676000000000386</v>
      </c>
      <c r="F123" s="7"/>
      <c r="H123" s="22" t="s">
        <v>8</v>
      </c>
      <c r="I123" s="23"/>
      <c r="J123" s="23"/>
      <c r="K123" s="23">
        <f>J115-D115</f>
        <v>61.292999999999665</v>
      </c>
      <c r="L123" s="7"/>
    </row>
    <row r="124" spans="2:12" ht="15.75" thickBot="1" x14ac:dyDescent="0.3">
      <c r="B124" s="24" t="s">
        <v>9</v>
      </c>
      <c r="C124" s="25"/>
      <c r="D124" s="25"/>
      <c r="E124" s="25">
        <f>F122-L101</f>
        <v>27.812000000000012</v>
      </c>
      <c r="F124" s="26"/>
      <c r="H124" s="24" t="s">
        <v>9</v>
      </c>
      <c r="I124" s="25"/>
      <c r="J124" s="25"/>
      <c r="K124" s="25">
        <f>L122-F122</f>
        <v>13.617999999999938</v>
      </c>
      <c r="L124" s="26"/>
    </row>
    <row r="125" spans="2:12" x14ac:dyDescent="0.25">
      <c r="B125" s="27" t="s">
        <v>10</v>
      </c>
      <c r="C125" s="27"/>
      <c r="D125" s="27"/>
      <c r="E125" s="27">
        <f>D122-J101</f>
        <v>39.310999999999979</v>
      </c>
      <c r="H125" s="27" t="s">
        <v>10</v>
      </c>
      <c r="I125" s="27"/>
      <c r="J125" s="27"/>
      <c r="K125" s="27">
        <f>J122-D122</f>
        <v>45.239000000000033</v>
      </c>
    </row>
    <row r="127" spans="2:12" ht="15.75" thickBot="1" x14ac:dyDescent="0.3"/>
    <row r="128" spans="2:12" x14ac:dyDescent="0.25">
      <c r="B128" s="1"/>
      <c r="C128" s="2"/>
      <c r="D128" s="3">
        <v>44725</v>
      </c>
      <c r="E128" s="2"/>
      <c r="F128" s="4"/>
      <c r="H128" s="1"/>
      <c r="I128" s="2"/>
      <c r="J128" s="3">
        <v>44732</v>
      </c>
      <c r="K128" s="2"/>
      <c r="L128" s="4"/>
    </row>
    <row r="129" spans="2:12" x14ac:dyDescent="0.25">
      <c r="B129" s="5"/>
      <c r="D129" s="6"/>
      <c r="F129" s="7"/>
      <c r="H129" s="5"/>
      <c r="J129" s="6"/>
      <c r="L129" s="7"/>
    </row>
    <row r="130" spans="2:12" x14ac:dyDescent="0.25">
      <c r="B130" s="5"/>
      <c r="C130" s="8" t="s">
        <v>0</v>
      </c>
      <c r="D130" s="9"/>
      <c r="E130" s="9"/>
      <c r="F130" s="10"/>
      <c r="H130" s="5"/>
      <c r="I130" s="8" t="s">
        <v>0</v>
      </c>
      <c r="J130" s="9"/>
      <c r="K130" s="9"/>
      <c r="L130" s="10"/>
    </row>
    <row r="131" spans="2:12" x14ac:dyDescent="0.25">
      <c r="B131" s="5"/>
      <c r="C131" s="11" t="s">
        <v>1</v>
      </c>
      <c r="D131" s="12"/>
      <c r="E131" s="12"/>
      <c r="F131" s="13"/>
      <c r="H131" s="5"/>
      <c r="I131" s="11" t="s">
        <v>1</v>
      </c>
      <c r="J131" s="12"/>
      <c r="K131" s="12"/>
      <c r="L131" s="13"/>
    </row>
    <row r="132" spans="2:12" x14ac:dyDescent="0.25">
      <c r="B132" s="5"/>
      <c r="C132" s="14"/>
      <c r="D132" t="s">
        <v>2</v>
      </c>
      <c r="F132" s="7" t="s">
        <v>3</v>
      </c>
      <c r="H132" s="5"/>
      <c r="I132" s="14"/>
      <c r="J132" t="s">
        <v>2</v>
      </c>
      <c r="L132" s="7" t="s">
        <v>3</v>
      </c>
    </row>
    <row r="133" spans="2:12" x14ac:dyDescent="0.25">
      <c r="B133" s="5"/>
      <c r="C133" s="14" t="s">
        <v>4</v>
      </c>
      <c r="D133">
        <v>2119.971</v>
      </c>
      <c r="F133" s="15">
        <v>1.4999999999999999E-2</v>
      </c>
      <c r="H133" s="5"/>
      <c r="I133" s="14" t="s">
        <v>4</v>
      </c>
      <c r="L133" s="15"/>
    </row>
    <row r="134" spans="2:12" x14ac:dyDescent="0.25">
      <c r="B134" s="5"/>
      <c r="C134" s="14" t="s">
        <v>5</v>
      </c>
      <c r="D134">
        <v>484.60700000000003</v>
      </c>
      <c r="F134" s="15">
        <v>4.3999999999999997E-2</v>
      </c>
      <c r="H134" s="5"/>
      <c r="I134" s="14" t="s">
        <v>5</v>
      </c>
      <c r="L134" s="15"/>
    </row>
    <row r="135" spans="2:12" ht="15.75" thickBot="1" x14ac:dyDescent="0.3">
      <c r="B135" s="5"/>
      <c r="C135" s="16" t="s">
        <v>6</v>
      </c>
      <c r="D135">
        <v>510.798</v>
      </c>
      <c r="E135" s="17"/>
      <c r="F135" s="18">
        <v>7.5999999999999998E-2</v>
      </c>
      <c r="H135" s="5"/>
      <c r="I135" s="16" t="s">
        <v>6</v>
      </c>
      <c r="K135" s="17"/>
      <c r="L135" s="18"/>
    </row>
    <row r="136" spans="2:12" ht="15.75" thickBot="1" x14ac:dyDescent="0.3">
      <c r="B136" s="5"/>
      <c r="D136" s="19">
        <v>3115.3760000000002</v>
      </c>
      <c r="F136" s="19">
        <v>0.13500000000000001</v>
      </c>
      <c r="H136" s="5"/>
      <c r="J136" s="19"/>
      <c r="L136" s="19"/>
    </row>
    <row r="137" spans="2:12" x14ac:dyDescent="0.25">
      <c r="B137" s="5"/>
      <c r="C137" s="8" t="s">
        <v>7</v>
      </c>
      <c r="D137" s="12"/>
      <c r="E137" s="9"/>
      <c r="F137" s="10"/>
      <c r="H137" s="5"/>
      <c r="I137" s="8" t="s">
        <v>7</v>
      </c>
      <c r="J137" s="12"/>
      <c r="K137" s="9"/>
      <c r="L137" s="10"/>
    </row>
    <row r="138" spans="2:12" x14ac:dyDescent="0.25">
      <c r="B138" s="5"/>
      <c r="C138" s="11" t="s">
        <v>1</v>
      </c>
      <c r="D138" s="12"/>
      <c r="E138" s="12"/>
      <c r="F138" s="13"/>
      <c r="H138" s="5"/>
      <c r="I138" s="11" t="s">
        <v>1</v>
      </c>
      <c r="J138" s="12"/>
      <c r="K138" s="12"/>
      <c r="L138" s="13"/>
    </row>
    <row r="139" spans="2:12" x14ac:dyDescent="0.25">
      <c r="B139" s="5"/>
      <c r="C139" s="14"/>
      <c r="D139" t="s">
        <v>2</v>
      </c>
      <c r="F139" s="7" t="s">
        <v>3</v>
      </c>
      <c r="H139" s="5"/>
      <c r="I139" s="14"/>
      <c r="J139" t="s">
        <v>2</v>
      </c>
      <c r="L139" s="7" t="s">
        <v>3</v>
      </c>
    </row>
    <row r="140" spans="2:12" x14ac:dyDescent="0.25">
      <c r="B140" s="5"/>
      <c r="C140" s="14" t="s">
        <v>4</v>
      </c>
      <c r="D140">
        <v>246.501</v>
      </c>
      <c r="F140" s="20">
        <v>571.04399999999998</v>
      </c>
      <c r="H140" s="5"/>
      <c r="I140" s="14" t="s">
        <v>4</v>
      </c>
      <c r="L140" s="20"/>
    </row>
    <row r="141" spans="2:12" x14ac:dyDescent="0.25">
      <c r="B141" s="5"/>
      <c r="C141" s="14" t="s">
        <v>5</v>
      </c>
      <c r="D141">
        <v>125.67100000000001</v>
      </c>
      <c r="F141" s="21">
        <v>231.91200000000001</v>
      </c>
      <c r="H141" s="5"/>
      <c r="I141" s="14" t="s">
        <v>5</v>
      </c>
      <c r="L141" s="21"/>
    </row>
    <row r="142" spans="2:12" ht="15.75" thickBot="1" x14ac:dyDescent="0.3">
      <c r="B142" s="5"/>
      <c r="C142" s="16" t="s">
        <v>6</v>
      </c>
      <c r="D142">
        <v>168.00899999999999</v>
      </c>
      <c r="E142" s="17"/>
      <c r="F142" s="21">
        <v>253.46299999999999</v>
      </c>
      <c r="H142" s="5"/>
      <c r="I142" s="16" t="s">
        <v>6</v>
      </c>
      <c r="K142" s="17"/>
      <c r="L142" s="21"/>
    </row>
    <row r="143" spans="2:12" ht="15.75" thickBot="1" x14ac:dyDescent="0.3">
      <c r="B143" s="5"/>
      <c r="D143" s="19">
        <v>540.18100000000004</v>
      </c>
      <c r="F143" s="19">
        <v>1056.4190000000001</v>
      </c>
      <c r="H143" s="5"/>
      <c r="J143" s="19"/>
      <c r="L143" s="19"/>
    </row>
    <row r="144" spans="2:12" x14ac:dyDescent="0.25">
      <c r="B144" s="22" t="s">
        <v>8</v>
      </c>
      <c r="C144" s="23"/>
      <c r="D144" s="23"/>
      <c r="E144" s="23">
        <f>D136-J115</f>
        <v>69.457000000000335</v>
      </c>
      <c r="F144" s="7"/>
      <c r="H144" s="22" t="s">
        <v>8</v>
      </c>
      <c r="I144" s="23"/>
      <c r="J144" s="23"/>
      <c r="K144" s="23"/>
      <c r="L144" s="7"/>
    </row>
    <row r="145" spans="2:12" ht="15.75" thickBot="1" x14ac:dyDescent="0.3">
      <c r="B145" s="24" t="s">
        <v>9</v>
      </c>
      <c r="C145" s="25"/>
      <c r="D145" s="25"/>
      <c r="E145" s="25">
        <f>F143-L122</f>
        <v>13.861000000000104</v>
      </c>
      <c r="F145" s="26"/>
      <c r="H145" s="24" t="s">
        <v>9</v>
      </c>
      <c r="I145" s="25"/>
      <c r="J145" s="25"/>
      <c r="K145" s="25"/>
      <c r="L145" s="26"/>
    </row>
    <row r="146" spans="2:12" x14ac:dyDescent="0.25">
      <c r="B146" s="27" t="s">
        <v>10</v>
      </c>
      <c r="C146" s="27"/>
      <c r="D146" s="27"/>
      <c r="E146" s="27">
        <f>D143-J122</f>
        <v>40.574000000000012</v>
      </c>
      <c r="H146" s="27" t="s">
        <v>10</v>
      </c>
      <c r="I146" s="27"/>
      <c r="J146" s="27"/>
      <c r="K146" s="27"/>
    </row>
    <row r="148" spans="2:12" ht="15.75" thickBot="1" x14ac:dyDescent="0.3"/>
    <row r="149" spans="2:12" x14ac:dyDescent="0.25">
      <c r="B149" s="1"/>
      <c r="C149" s="2"/>
      <c r="D149" s="3">
        <v>44739</v>
      </c>
      <c r="E149" s="2"/>
      <c r="F149" s="4"/>
      <c r="H149" s="1"/>
      <c r="I149" s="2"/>
      <c r="J149" s="3">
        <v>44746</v>
      </c>
      <c r="K149" s="2"/>
      <c r="L149" s="4"/>
    </row>
    <row r="150" spans="2:12" x14ac:dyDescent="0.25">
      <c r="B150" s="5"/>
      <c r="D150" s="6"/>
      <c r="F150" s="7"/>
      <c r="H150" s="5"/>
      <c r="J150" s="6"/>
      <c r="L150" s="7"/>
    </row>
    <row r="151" spans="2:12" x14ac:dyDescent="0.25">
      <c r="B151" s="5"/>
      <c r="C151" s="8" t="s">
        <v>0</v>
      </c>
      <c r="D151" s="9"/>
      <c r="E151" s="9"/>
      <c r="F151" s="10"/>
      <c r="H151" s="5"/>
      <c r="I151" s="8" t="s">
        <v>0</v>
      </c>
      <c r="J151" s="9"/>
      <c r="K151" s="9"/>
      <c r="L151" s="10"/>
    </row>
    <row r="152" spans="2:12" x14ac:dyDescent="0.25">
      <c r="B152" s="5"/>
      <c r="C152" s="11" t="s">
        <v>1</v>
      </c>
      <c r="D152" s="12"/>
      <c r="E152" s="12"/>
      <c r="F152" s="13"/>
      <c r="H152" s="5"/>
      <c r="I152" s="11" t="s">
        <v>1</v>
      </c>
      <c r="J152" s="12"/>
      <c r="K152" s="12"/>
      <c r="L152" s="13"/>
    </row>
    <row r="153" spans="2:12" x14ac:dyDescent="0.25">
      <c r="B153" s="5"/>
      <c r="C153" s="14"/>
      <c r="D153" t="s">
        <v>2</v>
      </c>
      <c r="F153" s="7" t="s">
        <v>3</v>
      </c>
      <c r="H153" s="5"/>
      <c r="I153" s="14"/>
      <c r="J153" t="s">
        <v>2</v>
      </c>
      <c r="L153" s="7" t="s">
        <v>3</v>
      </c>
    </row>
    <row r="154" spans="2:12" x14ac:dyDescent="0.25">
      <c r="B154" s="5"/>
      <c r="C154" s="14" t="s">
        <v>4</v>
      </c>
      <c r="D154">
        <v>2212.0949999999998</v>
      </c>
      <c r="F154" s="15">
        <v>1.4999999999999999E-2</v>
      </c>
      <c r="H154" s="5"/>
      <c r="I154" s="14" t="s">
        <v>4</v>
      </c>
      <c r="J154">
        <v>2259.4189999999999</v>
      </c>
      <c r="L154" s="15">
        <v>1.4999999999999999E-2</v>
      </c>
    </row>
    <row r="155" spans="2:12" x14ac:dyDescent="0.25">
      <c r="B155" s="5"/>
      <c r="C155" s="14" t="s">
        <v>5</v>
      </c>
      <c r="D155">
        <v>509.642</v>
      </c>
      <c r="F155" s="15">
        <v>4.4999999999999998E-2</v>
      </c>
      <c r="H155" s="5"/>
      <c r="I155" s="14" t="s">
        <v>5</v>
      </c>
      <c r="J155">
        <v>522.23199999999997</v>
      </c>
      <c r="L155" s="15">
        <v>4.5999999999999999E-2</v>
      </c>
    </row>
    <row r="156" spans="2:12" ht="15.75" thickBot="1" x14ac:dyDescent="0.3">
      <c r="B156" s="5"/>
      <c r="C156" s="16" t="s">
        <v>6</v>
      </c>
      <c r="D156">
        <v>533.24400000000003</v>
      </c>
      <c r="E156" s="17"/>
      <c r="F156" s="18">
        <v>7.6999999999999999E-2</v>
      </c>
      <c r="H156" s="5"/>
      <c r="I156" s="16" t="s">
        <v>6</v>
      </c>
      <c r="J156">
        <v>544.06399999999996</v>
      </c>
      <c r="K156" s="17"/>
      <c r="L156" s="18">
        <v>7.9000000000000001E-2</v>
      </c>
    </row>
    <row r="157" spans="2:12" ht="15.75" thickBot="1" x14ac:dyDescent="0.3">
      <c r="B157" s="5"/>
      <c r="D157" s="19">
        <v>3254.9810000000002</v>
      </c>
      <c r="F157" s="19">
        <v>0.13700000000000001</v>
      </c>
      <c r="H157" s="5"/>
      <c r="J157" s="19">
        <v>3325.7150000000001</v>
      </c>
      <c r="L157" s="19">
        <v>0.14000000000000001</v>
      </c>
    </row>
    <row r="158" spans="2:12" x14ac:dyDescent="0.25">
      <c r="B158" s="5"/>
      <c r="C158" s="8" t="s">
        <v>7</v>
      </c>
      <c r="D158" s="12"/>
      <c r="E158" s="9"/>
      <c r="F158" s="10"/>
      <c r="H158" s="5"/>
      <c r="I158" s="8" t="s">
        <v>7</v>
      </c>
      <c r="J158" s="12"/>
      <c r="K158" s="9"/>
      <c r="L158" s="10"/>
    </row>
    <row r="159" spans="2:12" x14ac:dyDescent="0.25">
      <c r="B159" s="5"/>
      <c r="C159" s="11" t="s">
        <v>1</v>
      </c>
      <c r="D159" s="12"/>
      <c r="E159" s="12"/>
      <c r="F159" s="13"/>
      <c r="H159" s="5"/>
      <c r="I159" s="11" t="s">
        <v>1</v>
      </c>
      <c r="J159" s="12"/>
      <c r="K159" s="12"/>
      <c r="L159" s="13"/>
    </row>
    <row r="160" spans="2:12" x14ac:dyDescent="0.25">
      <c r="B160" s="5"/>
      <c r="C160" s="14"/>
      <c r="D160" t="s">
        <v>2</v>
      </c>
      <c r="F160" s="7" t="s">
        <v>3</v>
      </c>
      <c r="H160" s="5"/>
      <c r="I160" s="14"/>
      <c r="J160" t="s">
        <v>2</v>
      </c>
      <c r="L160" s="7" t="s">
        <v>3</v>
      </c>
    </row>
    <row r="161" spans="2:12" x14ac:dyDescent="0.25">
      <c r="B161" s="5"/>
      <c r="C161" s="14" t="s">
        <v>4</v>
      </c>
      <c r="D161">
        <v>282.11200000000002</v>
      </c>
      <c r="F161" s="20">
        <v>585.41399999999999</v>
      </c>
      <c r="H161" s="5"/>
      <c r="I161" s="14" t="s">
        <v>4</v>
      </c>
      <c r="J161">
        <v>299.01499999999999</v>
      </c>
      <c r="L161" s="20">
        <v>599.00599999999997</v>
      </c>
    </row>
    <row r="162" spans="2:12" x14ac:dyDescent="0.25">
      <c r="B162" s="5"/>
      <c r="C162" s="14" t="s">
        <v>5</v>
      </c>
      <c r="D162">
        <v>145.05099999999999</v>
      </c>
      <c r="F162" s="21">
        <v>246.58</v>
      </c>
      <c r="H162" s="5"/>
      <c r="I162" s="14" t="s">
        <v>5</v>
      </c>
      <c r="J162">
        <v>155.36799999999999</v>
      </c>
      <c r="L162" s="21">
        <v>250.464</v>
      </c>
    </row>
    <row r="163" spans="2:12" ht="15.75" thickBot="1" x14ac:dyDescent="0.3">
      <c r="B163" s="5"/>
      <c r="C163" s="16" t="s">
        <v>6</v>
      </c>
      <c r="D163">
        <v>185.62799999999999</v>
      </c>
      <c r="E163" s="17"/>
      <c r="F163" s="21">
        <v>273.76400000000001</v>
      </c>
      <c r="H163" s="5"/>
      <c r="I163" s="16" t="s">
        <v>6</v>
      </c>
      <c r="J163">
        <v>195.137</v>
      </c>
      <c r="K163" s="17"/>
      <c r="L163" s="21">
        <v>280.46300000000002</v>
      </c>
    </row>
    <row r="164" spans="2:12" ht="15.75" thickBot="1" x14ac:dyDescent="0.3">
      <c r="B164" s="5"/>
      <c r="D164" s="19">
        <v>612.79100000000005</v>
      </c>
      <c r="F164" s="19">
        <v>1105.758</v>
      </c>
      <c r="H164" s="5"/>
      <c r="J164" s="19">
        <v>649.52</v>
      </c>
      <c r="L164" s="19">
        <v>1129.933</v>
      </c>
    </row>
    <row r="165" spans="2:12" x14ac:dyDescent="0.25">
      <c r="B165" s="22" t="s">
        <v>8</v>
      </c>
      <c r="C165" s="23"/>
      <c r="D165" s="23"/>
      <c r="E165" s="23"/>
      <c r="F165" s="7"/>
      <c r="H165" s="22" t="s">
        <v>8</v>
      </c>
      <c r="I165" s="23"/>
      <c r="J165" s="23"/>
      <c r="K165" s="23">
        <f>J157-D157</f>
        <v>70.733999999999924</v>
      </c>
      <c r="L165" s="7"/>
    </row>
    <row r="166" spans="2:12" ht="15.75" thickBot="1" x14ac:dyDescent="0.3">
      <c r="B166" s="24" t="s">
        <v>9</v>
      </c>
      <c r="C166" s="25"/>
      <c r="D166" s="25"/>
      <c r="E166" s="25"/>
      <c r="F166" s="26"/>
      <c r="H166" s="24" t="s">
        <v>9</v>
      </c>
      <c r="I166" s="25"/>
      <c r="J166" s="25"/>
      <c r="K166" s="25">
        <f>L164-F164</f>
        <v>24.174999999999955</v>
      </c>
      <c r="L166" s="26"/>
    </row>
    <row r="167" spans="2:12" x14ac:dyDescent="0.25">
      <c r="B167" s="27" t="s">
        <v>10</v>
      </c>
      <c r="C167" s="27"/>
      <c r="D167" s="27"/>
      <c r="E167" s="27"/>
      <c r="H167" s="27" t="s">
        <v>10</v>
      </c>
      <c r="I167" s="27"/>
      <c r="J167" s="27"/>
      <c r="K167" s="27">
        <f>J164-D164</f>
        <v>36.728999999999928</v>
      </c>
    </row>
    <row r="169" spans="2:12" ht="15.75" thickBot="1" x14ac:dyDescent="0.3"/>
    <row r="170" spans="2:12" x14ac:dyDescent="0.25">
      <c r="B170" s="1"/>
      <c r="C170" s="2"/>
      <c r="D170" s="3">
        <v>44753</v>
      </c>
      <c r="E170" s="2"/>
      <c r="F170" s="4"/>
      <c r="H170" s="1"/>
      <c r="I170" s="2"/>
      <c r="J170" s="3">
        <v>44760</v>
      </c>
      <c r="K170" s="2"/>
      <c r="L170" s="4"/>
    </row>
    <row r="171" spans="2:12" x14ac:dyDescent="0.25">
      <c r="B171" s="5"/>
      <c r="D171" s="6"/>
      <c r="F171" s="7"/>
      <c r="H171" s="5"/>
      <c r="J171" s="6"/>
      <c r="L171" s="7"/>
    </row>
    <row r="172" spans="2:12" x14ac:dyDescent="0.25">
      <c r="B172" s="5"/>
      <c r="C172" s="8" t="s">
        <v>0</v>
      </c>
      <c r="D172" s="9"/>
      <c r="E172" s="9"/>
      <c r="F172" s="10"/>
      <c r="H172" s="5"/>
      <c r="I172" s="8" t="s">
        <v>0</v>
      </c>
      <c r="J172" s="9"/>
      <c r="K172" s="9"/>
      <c r="L172" s="10"/>
    </row>
    <row r="173" spans="2:12" x14ac:dyDescent="0.25">
      <c r="B173" s="5"/>
      <c r="C173" s="11" t="s">
        <v>1</v>
      </c>
      <c r="D173" s="12"/>
      <c r="E173" s="12"/>
      <c r="F173" s="13"/>
      <c r="H173" s="5"/>
      <c r="I173" s="11" t="s">
        <v>1</v>
      </c>
      <c r="J173" s="12"/>
      <c r="K173" s="12"/>
      <c r="L173" s="13"/>
    </row>
    <row r="174" spans="2:12" x14ac:dyDescent="0.25">
      <c r="B174" s="5"/>
      <c r="C174" s="14"/>
      <c r="D174" t="s">
        <v>2</v>
      </c>
      <c r="F174" s="7" t="s">
        <v>3</v>
      </c>
      <c r="H174" s="5"/>
      <c r="I174" s="14"/>
      <c r="J174" t="s">
        <v>2</v>
      </c>
      <c r="L174" s="7" t="s">
        <v>3</v>
      </c>
    </row>
    <row r="175" spans="2:12" x14ac:dyDescent="0.25">
      <c r="B175" s="5"/>
      <c r="C175" s="14" t="s">
        <v>4</v>
      </c>
      <c r="D175">
        <v>2313.1460000000002</v>
      </c>
      <c r="F175" s="15">
        <v>1.4999999999999999E-2</v>
      </c>
      <c r="H175" s="5"/>
      <c r="I175" s="14" t="s">
        <v>4</v>
      </c>
      <c r="J175">
        <v>2359.913</v>
      </c>
      <c r="L175" s="15">
        <v>1.4999999999999999E-2</v>
      </c>
    </row>
    <row r="176" spans="2:12" x14ac:dyDescent="0.25">
      <c r="B176" s="5"/>
      <c r="C176" s="14" t="s">
        <v>5</v>
      </c>
      <c r="D176">
        <v>535.12599999999998</v>
      </c>
      <c r="F176" s="15">
        <v>4.8000000000000001E-2</v>
      </c>
      <c r="H176" s="5"/>
      <c r="I176" s="14" t="s">
        <v>5</v>
      </c>
      <c r="J176">
        <v>547.35</v>
      </c>
      <c r="L176" s="15">
        <v>4.9000000000000002E-2</v>
      </c>
    </row>
    <row r="177" spans="2:12" ht="15.75" thickBot="1" x14ac:dyDescent="0.3">
      <c r="B177" s="5"/>
      <c r="C177" s="16" t="s">
        <v>6</v>
      </c>
      <c r="D177">
        <v>555.18100000000004</v>
      </c>
      <c r="E177" s="17"/>
      <c r="F177" s="18">
        <v>7.9000000000000001E-2</v>
      </c>
      <c r="H177" s="5"/>
      <c r="I177" s="16" t="s">
        <v>6</v>
      </c>
      <c r="J177">
        <v>566.14099999999996</v>
      </c>
      <c r="K177" s="17"/>
      <c r="L177" s="18">
        <v>7.9000000000000001E-2</v>
      </c>
    </row>
    <row r="178" spans="2:12" ht="15.75" thickBot="1" x14ac:dyDescent="0.3">
      <c r="B178" s="5"/>
      <c r="D178" s="19">
        <v>3403.453</v>
      </c>
      <c r="F178" s="19">
        <v>0.14199999999999999</v>
      </c>
      <c r="H178" s="5"/>
      <c r="J178" s="19">
        <v>3473.404</v>
      </c>
      <c r="L178" s="19">
        <v>0.14299999999999999</v>
      </c>
    </row>
    <row r="179" spans="2:12" x14ac:dyDescent="0.25">
      <c r="B179" s="5"/>
      <c r="C179" s="8" t="s">
        <v>7</v>
      </c>
      <c r="D179" s="12"/>
      <c r="E179" s="9"/>
      <c r="F179" s="10"/>
      <c r="H179" s="5"/>
      <c r="I179" s="8" t="s">
        <v>7</v>
      </c>
      <c r="J179" s="12"/>
      <c r="K179" s="9"/>
      <c r="L179" s="10"/>
    </row>
    <row r="180" spans="2:12" x14ac:dyDescent="0.25">
      <c r="B180" s="5"/>
      <c r="C180" s="11" t="s">
        <v>1</v>
      </c>
      <c r="D180" s="12"/>
      <c r="E180" s="12"/>
      <c r="F180" s="13"/>
      <c r="H180" s="5"/>
      <c r="I180" s="11" t="s">
        <v>1</v>
      </c>
      <c r="J180" s="12"/>
      <c r="K180" s="12"/>
      <c r="L180" s="13"/>
    </row>
    <row r="181" spans="2:12" x14ac:dyDescent="0.25">
      <c r="B181" s="5"/>
      <c r="C181" s="14"/>
      <c r="D181" t="s">
        <v>2</v>
      </c>
      <c r="F181" s="7" t="s">
        <v>3</v>
      </c>
      <c r="H181" s="5"/>
      <c r="I181" s="14"/>
      <c r="J181" t="s">
        <v>2</v>
      </c>
      <c r="L181" s="7" t="s">
        <v>3</v>
      </c>
    </row>
    <row r="182" spans="2:12" x14ac:dyDescent="0.25">
      <c r="B182" s="5"/>
      <c r="C182" s="14" t="s">
        <v>4</v>
      </c>
      <c r="D182">
        <v>313.45</v>
      </c>
      <c r="F182" s="20">
        <v>616.66</v>
      </c>
      <c r="H182" s="5"/>
      <c r="I182" s="14" t="s">
        <v>4</v>
      </c>
      <c r="J182">
        <v>327.69499999999999</v>
      </c>
      <c r="L182" s="20">
        <v>628.13</v>
      </c>
    </row>
    <row r="183" spans="2:12" x14ac:dyDescent="0.25">
      <c r="B183" s="5"/>
      <c r="C183" s="14" t="s">
        <v>5</v>
      </c>
      <c r="D183">
        <v>165.91200000000001</v>
      </c>
      <c r="F183" s="21">
        <v>255.572</v>
      </c>
      <c r="H183" s="5"/>
      <c r="I183" s="14" t="s">
        <v>5</v>
      </c>
      <c r="J183">
        <v>175.822</v>
      </c>
      <c r="L183" s="21">
        <v>258.34699999999998</v>
      </c>
    </row>
    <row r="184" spans="2:12" ht="15.75" thickBot="1" x14ac:dyDescent="0.3">
      <c r="B184" s="5"/>
      <c r="C184" s="16" t="s">
        <v>6</v>
      </c>
      <c r="D184">
        <v>205.03100000000001</v>
      </c>
      <c r="E184" s="17"/>
      <c r="F184" s="21">
        <v>289.73399999999998</v>
      </c>
      <c r="H184" s="5"/>
      <c r="I184" s="16" t="s">
        <v>6</v>
      </c>
      <c r="J184">
        <v>214.75200000000001</v>
      </c>
      <c r="K184" s="17"/>
      <c r="L184" s="21">
        <v>297.05099999999999</v>
      </c>
    </row>
    <row r="185" spans="2:12" ht="15.75" thickBot="1" x14ac:dyDescent="0.3">
      <c r="B185" s="5"/>
      <c r="D185" s="19">
        <v>684.39300000000003</v>
      </c>
      <c r="F185" s="19">
        <v>1161.9659999999999</v>
      </c>
      <c r="H185" s="5"/>
      <c r="J185" s="19">
        <v>718.26900000000001</v>
      </c>
      <c r="L185" s="19">
        <v>1183.528</v>
      </c>
    </row>
    <row r="186" spans="2:12" x14ac:dyDescent="0.25">
      <c r="B186" s="22" t="s">
        <v>8</v>
      </c>
      <c r="C186" s="23"/>
      <c r="D186" s="23"/>
      <c r="E186" s="23">
        <f>D178-J157</f>
        <v>77.737999999999829</v>
      </c>
      <c r="F186" s="7"/>
      <c r="H186" s="22" t="s">
        <v>8</v>
      </c>
      <c r="I186" s="23"/>
      <c r="J186" s="23"/>
      <c r="K186" s="23">
        <f>J178-D178</f>
        <v>69.951000000000022</v>
      </c>
      <c r="L186" s="7"/>
    </row>
    <row r="187" spans="2:12" ht="15.75" thickBot="1" x14ac:dyDescent="0.3">
      <c r="B187" s="24" t="s">
        <v>9</v>
      </c>
      <c r="C187" s="25"/>
      <c r="D187" s="25"/>
      <c r="E187" s="25">
        <f>F185-L164</f>
        <v>32.032999999999902</v>
      </c>
      <c r="F187" s="26"/>
      <c r="H187" s="24" t="s">
        <v>9</v>
      </c>
      <c r="I187" s="25"/>
      <c r="J187" s="25"/>
      <c r="K187" s="25">
        <f>L185-F185</f>
        <v>21.562000000000126</v>
      </c>
      <c r="L187" s="26"/>
    </row>
    <row r="188" spans="2:12" x14ac:dyDescent="0.25">
      <c r="B188" s="27" t="s">
        <v>10</v>
      </c>
      <c r="C188" s="27"/>
      <c r="D188" s="27"/>
      <c r="E188" s="27">
        <f>D185-J164</f>
        <v>34.873000000000047</v>
      </c>
      <c r="H188" s="27" t="s">
        <v>10</v>
      </c>
      <c r="I188" s="27"/>
      <c r="J188" s="27"/>
      <c r="K188" s="27">
        <f>J185-D185</f>
        <v>33.875999999999976</v>
      </c>
    </row>
    <row r="190" spans="2:12" ht="15.75" thickBot="1" x14ac:dyDescent="0.3"/>
    <row r="191" spans="2:12" x14ac:dyDescent="0.25">
      <c r="B191" s="1"/>
      <c r="C191" s="2"/>
      <c r="D191" s="3">
        <v>44767</v>
      </c>
      <c r="E191" s="2"/>
      <c r="F191" s="4"/>
      <c r="H191" s="1"/>
      <c r="I191" s="2"/>
      <c r="J191" s="3">
        <v>44776</v>
      </c>
      <c r="K191" s="2"/>
      <c r="L191" s="4"/>
    </row>
    <row r="192" spans="2:12" x14ac:dyDescent="0.25">
      <c r="B192" s="5"/>
      <c r="D192" s="6"/>
      <c r="F192" s="7"/>
      <c r="H192" s="5"/>
      <c r="J192" s="6"/>
      <c r="L192" s="7"/>
    </row>
    <row r="193" spans="2:12" x14ac:dyDescent="0.25">
      <c r="B193" s="5"/>
      <c r="C193" s="8" t="s">
        <v>0</v>
      </c>
      <c r="D193" s="9"/>
      <c r="E193" s="9"/>
      <c r="F193" s="10"/>
      <c r="H193" s="5"/>
      <c r="I193" s="8" t="s">
        <v>0</v>
      </c>
      <c r="J193" s="9"/>
      <c r="K193" s="9"/>
      <c r="L193" s="10"/>
    </row>
    <row r="194" spans="2:12" x14ac:dyDescent="0.25">
      <c r="B194" s="5"/>
      <c r="C194" s="11" t="s">
        <v>1</v>
      </c>
      <c r="D194" s="12"/>
      <c r="E194" s="12"/>
      <c r="F194" s="13"/>
      <c r="H194" s="5"/>
      <c r="I194" s="11" t="s">
        <v>1</v>
      </c>
      <c r="J194" s="12"/>
      <c r="K194" s="12"/>
      <c r="L194" s="13"/>
    </row>
    <row r="195" spans="2:12" x14ac:dyDescent="0.25">
      <c r="B195" s="5"/>
      <c r="C195" s="14"/>
      <c r="D195" t="s">
        <v>2</v>
      </c>
      <c r="F195" s="7" t="s">
        <v>3</v>
      </c>
      <c r="H195" s="5"/>
      <c r="I195" s="14"/>
      <c r="J195" t="s">
        <v>2</v>
      </c>
      <c r="L195" s="7" t="s">
        <v>3</v>
      </c>
    </row>
    <row r="196" spans="2:12" x14ac:dyDescent="0.25">
      <c r="B196" s="5"/>
      <c r="C196" s="14" t="s">
        <v>4</v>
      </c>
      <c r="D196">
        <v>2404.0830000000001</v>
      </c>
      <c r="F196" s="15">
        <v>1.4999999999999999E-2</v>
      </c>
      <c r="H196" s="5"/>
      <c r="I196" s="14" t="s">
        <v>4</v>
      </c>
      <c r="J196">
        <v>2463.152</v>
      </c>
      <c r="L196" s="15">
        <v>1.4999999999999999E-2</v>
      </c>
    </row>
    <row r="197" spans="2:12" x14ac:dyDescent="0.25">
      <c r="B197" s="5"/>
      <c r="C197" s="14" t="s">
        <v>5</v>
      </c>
      <c r="D197">
        <v>555.64300000000003</v>
      </c>
      <c r="F197" s="15">
        <v>0.05</v>
      </c>
      <c r="H197" s="5"/>
      <c r="I197" s="14" t="s">
        <v>5</v>
      </c>
      <c r="J197">
        <v>568.74400000000003</v>
      </c>
      <c r="L197" s="15">
        <v>0.05</v>
      </c>
    </row>
    <row r="198" spans="2:12" ht="15.75" thickBot="1" x14ac:dyDescent="0.3">
      <c r="B198" s="5"/>
      <c r="C198" s="16" t="s">
        <v>6</v>
      </c>
      <c r="D198">
        <v>573.88199999999995</v>
      </c>
      <c r="E198" s="17"/>
      <c r="F198" s="18">
        <v>0.08</v>
      </c>
      <c r="H198" s="5"/>
      <c r="I198" s="16" t="s">
        <v>6</v>
      </c>
      <c r="J198">
        <v>583.9</v>
      </c>
      <c r="K198" s="17"/>
      <c r="L198" s="18">
        <v>0.08</v>
      </c>
    </row>
    <row r="199" spans="2:12" ht="15.75" thickBot="1" x14ac:dyDescent="0.3">
      <c r="B199" s="5"/>
      <c r="D199" s="19">
        <v>3533.6080000000002</v>
      </c>
      <c r="F199" s="19">
        <v>0.14499999999999999</v>
      </c>
      <c r="H199" s="5"/>
      <c r="J199" s="19">
        <v>3615.7959999999998</v>
      </c>
      <c r="L199" s="19">
        <v>0.14499999999999999</v>
      </c>
    </row>
    <row r="200" spans="2:12" x14ac:dyDescent="0.25">
      <c r="B200" s="5"/>
      <c r="C200" s="8" t="s">
        <v>7</v>
      </c>
      <c r="D200" s="12"/>
      <c r="E200" s="9"/>
      <c r="F200" s="10"/>
      <c r="H200" s="5"/>
      <c r="I200" s="8" t="s">
        <v>7</v>
      </c>
      <c r="J200" s="12"/>
      <c r="K200" s="9"/>
      <c r="L200" s="10"/>
    </row>
    <row r="201" spans="2:12" x14ac:dyDescent="0.25">
      <c r="B201" s="5"/>
      <c r="C201" s="11" t="s">
        <v>1</v>
      </c>
      <c r="D201" s="12"/>
      <c r="E201" s="12"/>
      <c r="F201" s="13"/>
      <c r="H201" s="5"/>
      <c r="I201" s="11" t="s">
        <v>1</v>
      </c>
      <c r="J201" s="12"/>
      <c r="K201" s="12"/>
      <c r="L201" s="13"/>
    </row>
    <row r="202" spans="2:12" x14ac:dyDescent="0.25">
      <c r="B202" s="5"/>
      <c r="C202" s="14"/>
      <c r="D202" t="s">
        <v>2</v>
      </c>
      <c r="F202" s="7" t="s">
        <v>3</v>
      </c>
      <c r="H202" s="5"/>
      <c r="I202" s="14"/>
      <c r="J202" t="s">
        <v>2</v>
      </c>
      <c r="L202" s="7" t="s">
        <v>3</v>
      </c>
    </row>
    <row r="203" spans="2:12" x14ac:dyDescent="0.25">
      <c r="B203" s="5"/>
      <c r="C203" s="14" t="s">
        <v>4</v>
      </c>
      <c r="D203">
        <v>337.01100000000002</v>
      </c>
      <c r="F203" s="20">
        <v>664.66600000000005</v>
      </c>
      <c r="H203" s="5"/>
      <c r="I203" s="14" t="s">
        <v>4</v>
      </c>
      <c r="J203">
        <v>349.78100000000001</v>
      </c>
      <c r="L203" s="20">
        <v>684.62</v>
      </c>
    </row>
    <row r="204" spans="2:12" x14ac:dyDescent="0.25">
      <c r="B204" s="5"/>
      <c r="C204" s="14" t="s">
        <v>5</v>
      </c>
      <c r="D204">
        <v>184.274</v>
      </c>
      <c r="F204" s="21">
        <v>264.96899999999999</v>
      </c>
      <c r="H204" s="5"/>
      <c r="I204" s="14" t="s">
        <v>5</v>
      </c>
      <c r="J204">
        <v>191.571</v>
      </c>
      <c r="L204" s="21">
        <v>272.29000000000002</v>
      </c>
    </row>
    <row r="205" spans="2:12" ht="15.75" thickBot="1" x14ac:dyDescent="0.3">
      <c r="B205" s="5"/>
      <c r="C205" s="16" t="s">
        <v>6</v>
      </c>
      <c r="D205">
        <v>224.113</v>
      </c>
      <c r="E205" s="17"/>
      <c r="F205" s="21">
        <v>308.16399999999999</v>
      </c>
      <c r="H205" s="5"/>
      <c r="I205" s="16" t="s">
        <v>6</v>
      </c>
      <c r="J205">
        <v>230.25899999999999</v>
      </c>
      <c r="K205" s="17"/>
      <c r="L205" s="21">
        <v>318.76400000000001</v>
      </c>
    </row>
    <row r="206" spans="2:12" ht="15.75" thickBot="1" x14ac:dyDescent="0.3">
      <c r="B206" s="5"/>
      <c r="D206" s="19">
        <v>745.39800000000002</v>
      </c>
      <c r="F206" s="19">
        <v>1237.799</v>
      </c>
      <c r="H206" s="5"/>
      <c r="J206" s="19">
        <v>771.61099999999999</v>
      </c>
      <c r="L206" s="19">
        <v>1275.674</v>
      </c>
    </row>
    <row r="207" spans="2:12" x14ac:dyDescent="0.25">
      <c r="B207" s="22" t="s">
        <v>8</v>
      </c>
      <c r="C207" s="23"/>
      <c r="D207" s="23"/>
      <c r="E207" s="23">
        <f>D199-J178</f>
        <v>60.204000000000178</v>
      </c>
      <c r="F207" s="7"/>
      <c r="H207" s="22" t="s">
        <v>8</v>
      </c>
      <c r="I207" s="23"/>
      <c r="J207" s="23"/>
      <c r="K207" s="23">
        <f>J199-D199</f>
        <v>82.187999999999647</v>
      </c>
      <c r="L207" s="7"/>
    </row>
    <row r="208" spans="2:12" ht="15.75" thickBot="1" x14ac:dyDescent="0.3">
      <c r="B208" s="24" t="s">
        <v>9</v>
      </c>
      <c r="C208" s="25"/>
      <c r="D208" s="25"/>
      <c r="E208" s="25">
        <f>F206-L185</f>
        <v>54.270999999999958</v>
      </c>
      <c r="F208" s="26"/>
      <c r="H208" s="24" t="s">
        <v>9</v>
      </c>
      <c r="I208" s="25"/>
      <c r="J208" s="25"/>
      <c r="K208" s="25">
        <f>L206-F206</f>
        <v>37.875</v>
      </c>
      <c r="L208" s="26"/>
    </row>
    <row r="209" spans="2:12" x14ac:dyDescent="0.25">
      <c r="B209" s="27" t="s">
        <v>10</v>
      </c>
      <c r="C209" s="27"/>
      <c r="D209" s="27"/>
      <c r="E209" s="27">
        <f>D206-J185</f>
        <v>27.129000000000019</v>
      </c>
      <c r="H209" s="27" t="s">
        <v>10</v>
      </c>
      <c r="I209" s="27"/>
      <c r="J209" s="27"/>
      <c r="K209" s="27">
        <f>J206-D206</f>
        <v>26.212999999999965</v>
      </c>
    </row>
    <row r="211" spans="2:12" ht="15.75" thickBot="1" x14ac:dyDescent="0.3"/>
    <row r="212" spans="2:12" x14ac:dyDescent="0.25">
      <c r="B212" s="1"/>
      <c r="C212" s="2"/>
      <c r="D212" s="3">
        <v>44790</v>
      </c>
      <c r="E212" s="2"/>
      <c r="F212" s="4"/>
      <c r="H212" s="1"/>
      <c r="I212" s="2"/>
      <c r="J212" s="3">
        <v>44797</v>
      </c>
      <c r="K212" s="2"/>
      <c r="L212" s="4"/>
    </row>
    <row r="213" spans="2:12" x14ac:dyDescent="0.25">
      <c r="B213" s="5"/>
      <c r="D213" s="6"/>
      <c r="F213" s="7"/>
      <c r="H213" s="5"/>
      <c r="J213" s="6"/>
      <c r="L213" s="7"/>
    </row>
    <row r="214" spans="2:12" x14ac:dyDescent="0.25">
      <c r="B214" s="5"/>
      <c r="C214" s="8" t="s">
        <v>0</v>
      </c>
      <c r="D214" s="9"/>
      <c r="E214" s="9"/>
      <c r="F214" s="10"/>
      <c r="H214" s="5"/>
      <c r="I214" s="8" t="s">
        <v>0</v>
      </c>
      <c r="J214" s="9"/>
      <c r="K214" s="9"/>
      <c r="L214" s="10"/>
    </row>
    <row r="215" spans="2:12" x14ac:dyDescent="0.25">
      <c r="B215" s="5"/>
      <c r="C215" s="11" t="s">
        <v>1</v>
      </c>
      <c r="D215" s="12"/>
      <c r="E215" s="12"/>
      <c r="F215" s="13"/>
      <c r="H215" s="5"/>
      <c r="I215" s="11" t="s">
        <v>1</v>
      </c>
      <c r="J215" s="12"/>
      <c r="K215" s="12"/>
      <c r="L215" s="13"/>
    </row>
    <row r="216" spans="2:12" x14ac:dyDescent="0.25">
      <c r="B216" s="5"/>
      <c r="C216" s="14"/>
      <c r="D216" t="s">
        <v>2</v>
      </c>
      <c r="F216" s="7" t="s">
        <v>3</v>
      </c>
      <c r="H216" s="5"/>
      <c r="I216" s="14"/>
      <c r="J216" t="s">
        <v>2</v>
      </c>
      <c r="L216" s="7" t="s">
        <v>3</v>
      </c>
    </row>
    <row r="217" spans="2:12" x14ac:dyDescent="0.25">
      <c r="B217" s="5"/>
      <c r="C217" s="14" t="s">
        <v>4</v>
      </c>
      <c r="D217">
        <v>2544.701</v>
      </c>
      <c r="F217" s="15">
        <v>1.6E-2</v>
      </c>
      <c r="H217" s="5"/>
      <c r="I217" s="14" t="s">
        <v>4</v>
      </c>
      <c r="J217">
        <v>2591.223</v>
      </c>
      <c r="L217" s="15">
        <v>1.6E-2</v>
      </c>
    </row>
    <row r="218" spans="2:12" x14ac:dyDescent="0.25">
      <c r="B218" s="5"/>
      <c r="C218" s="14" t="s">
        <v>5</v>
      </c>
      <c r="D218">
        <v>586.68399999999997</v>
      </c>
      <c r="F218" s="15">
        <v>5.2999999999999999E-2</v>
      </c>
      <c r="H218" s="5"/>
      <c r="I218" s="14" t="s">
        <v>5</v>
      </c>
      <c r="J218">
        <v>597.87</v>
      </c>
      <c r="L218" s="15">
        <v>5.2999999999999999E-2</v>
      </c>
    </row>
    <row r="219" spans="2:12" ht="15.75" thickBot="1" x14ac:dyDescent="0.3">
      <c r="B219" s="5"/>
      <c r="C219" s="16" t="s">
        <v>6</v>
      </c>
      <c r="D219">
        <v>612.83199999999999</v>
      </c>
      <c r="E219" s="17"/>
      <c r="F219" s="18">
        <v>8.3000000000000004E-2</v>
      </c>
      <c r="H219" s="5"/>
      <c r="I219" s="16" t="s">
        <v>6</v>
      </c>
      <c r="J219">
        <v>621.92600000000004</v>
      </c>
      <c r="K219" s="17"/>
      <c r="L219" s="18">
        <v>8.5000000000000006E-2</v>
      </c>
    </row>
    <row r="220" spans="2:12" ht="15.75" thickBot="1" x14ac:dyDescent="0.3">
      <c r="B220" s="5"/>
      <c r="D220" s="19">
        <v>3744.2170000000001</v>
      </c>
      <c r="F220" s="19">
        <v>0.152</v>
      </c>
      <c r="H220" s="5"/>
      <c r="J220" s="19">
        <v>3811.0189999999998</v>
      </c>
      <c r="L220" s="19">
        <v>0.154</v>
      </c>
    </row>
    <row r="221" spans="2:12" x14ac:dyDescent="0.25">
      <c r="B221" s="5"/>
      <c r="C221" s="8" t="s">
        <v>7</v>
      </c>
      <c r="D221" s="12"/>
      <c r="E221" s="9"/>
      <c r="F221" s="10"/>
      <c r="H221" s="5"/>
      <c r="I221" s="8" t="s">
        <v>7</v>
      </c>
      <c r="J221" s="12"/>
      <c r="K221" s="9"/>
      <c r="L221" s="10"/>
    </row>
    <row r="222" spans="2:12" x14ac:dyDescent="0.25">
      <c r="B222" s="5"/>
      <c r="C222" s="11" t="s">
        <v>1</v>
      </c>
      <c r="D222" s="12"/>
      <c r="E222" s="12"/>
      <c r="F222" s="13"/>
      <c r="H222" s="5"/>
      <c r="I222" s="11" t="s">
        <v>1</v>
      </c>
      <c r="J222" s="12"/>
      <c r="K222" s="12"/>
      <c r="L222" s="13"/>
    </row>
    <row r="223" spans="2:12" x14ac:dyDescent="0.25">
      <c r="B223" s="5"/>
      <c r="C223" s="14"/>
      <c r="D223" t="s">
        <v>2</v>
      </c>
      <c r="F223" s="7" t="s">
        <v>3</v>
      </c>
      <c r="H223" s="5"/>
      <c r="I223" s="14"/>
      <c r="J223" t="s">
        <v>2</v>
      </c>
      <c r="L223" s="7" t="s">
        <v>3</v>
      </c>
    </row>
    <row r="224" spans="2:12" x14ac:dyDescent="0.25">
      <c r="B224" s="5"/>
      <c r="C224" s="14" t="s">
        <v>4</v>
      </c>
      <c r="D224">
        <v>380.00200000000001</v>
      </c>
      <c r="F224" s="20">
        <v>711.95699999999999</v>
      </c>
      <c r="H224" s="5"/>
      <c r="I224" s="14" t="s">
        <v>4</v>
      </c>
      <c r="J224">
        <v>393.85</v>
      </c>
      <c r="L224" s="20">
        <v>737.51099999999997</v>
      </c>
    </row>
    <row r="225" spans="2:12" x14ac:dyDescent="0.25">
      <c r="B225" s="5"/>
      <c r="C225" s="14" t="s">
        <v>5</v>
      </c>
      <c r="D225">
        <v>205.50700000000001</v>
      </c>
      <c r="F225" s="21">
        <v>288.404</v>
      </c>
      <c r="H225" s="5"/>
      <c r="I225" s="14" t="s">
        <v>5</v>
      </c>
      <c r="J225">
        <v>208.52600000000001</v>
      </c>
      <c r="L225" s="21">
        <v>309.43099999999998</v>
      </c>
    </row>
    <row r="226" spans="2:12" ht="15.75" thickBot="1" x14ac:dyDescent="0.3">
      <c r="B226" s="5"/>
      <c r="C226" s="16" t="s">
        <v>6</v>
      </c>
      <c r="D226">
        <v>256.37299999999999</v>
      </c>
      <c r="E226" s="17"/>
      <c r="F226" s="21">
        <v>343.38200000000001</v>
      </c>
      <c r="H226" s="5"/>
      <c r="I226" s="16" t="s">
        <v>6</v>
      </c>
      <c r="J226">
        <v>258.113</v>
      </c>
      <c r="K226" s="17"/>
      <c r="L226" s="21">
        <v>368.26600000000002</v>
      </c>
    </row>
    <row r="227" spans="2:12" ht="15.75" thickBot="1" x14ac:dyDescent="0.3">
      <c r="B227" s="5"/>
      <c r="D227" s="19">
        <v>841.88199999999995</v>
      </c>
      <c r="F227" s="19">
        <v>1343.7429999999999</v>
      </c>
      <c r="H227" s="5"/>
      <c r="J227" s="19">
        <v>860.48900000000003</v>
      </c>
      <c r="L227" s="19">
        <v>1415.2080000000001</v>
      </c>
    </row>
    <row r="228" spans="2:12" x14ac:dyDescent="0.25">
      <c r="B228" s="22" t="s">
        <v>8</v>
      </c>
      <c r="C228" s="23"/>
      <c r="D228" s="23"/>
      <c r="E228" s="23">
        <f>D220-J199</f>
        <v>128.42100000000028</v>
      </c>
      <c r="F228" s="7"/>
      <c r="H228" s="22" t="s">
        <v>8</v>
      </c>
      <c r="I228" s="23"/>
      <c r="J228" s="23"/>
      <c r="K228" s="23">
        <f>J220-D220</f>
        <v>66.80199999999968</v>
      </c>
      <c r="L228" s="7"/>
    </row>
    <row r="229" spans="2:12" ht="15.75" thickBot="1" x14ac:dyDescent="0.3">
      <c r="B229" s="24" t="s">
        <v>9</v>
      </c>
      <c r="C229" s="25"/>
      <c r="D229" s="25"/>
      <c r="E229" s="25">
        <f>F227-L206</f>
        <v>68.06899999999996</v>
      </c>
      <c r="F229" s="26"/>
      <c r="H229" s="24" t="s">
        <v>9</v>
      </c>
      <c r="I229" s="25"/>
      <c r="J229" s="25"/>
      <c r="K229" s="25">
        <f>L227-F227</f>
        <v>71.465000000000146</v>
      </c>
      <c r="L229" s="26"/>
    </row>
    <row r="230" spans="2:12" x14ac:dyDescent="0.25">
      <c r="B230" s="27" t="s">
        <v>10</v>
      </c>
      <c r="C230" s="27"/>
      <c r="D230" s="27"/>
      <c r="E230" s="27">
        <f>D227-J206</f>
        <v>70.270999999999958</v>
      </c>
      <c r="H230" s="27" t="s">
        <v>10</v>
      </c>
      <c r="I230" s="27"/>
      <c r="J230" s="27"/>
      <c r="K230" s="27">
        <f>J227-D227</f>
        <v>18.607000000000085</v>
      </c>
    </row>
    <row r="232" spans="2:12" ht="15.75" thickBot="1" x14ac:dyDescent="0.3"/>
    <row r="233" spans="2:12" x14ac:dyDescent="0.25">
      <c r="B233" s="1"/>
      <c r="C233" s="2"/>
      <c r="D233" s="3">
        <v>44804</v>
      </c>
      <c r="E233" s="2"/>
      <c r="F233" s="4"/>
      <c r="H233" s="1"/>
      <c r="I233" s="2"/>
      <c r="J233" s="3">
        <v>44809</v>
      </c>
      <c r="K233" s="2"/>
      <c r="L233" s="4"/>
    </row>
    <row r="234" spans="2:12" x14ac:dyDescent="0.25">
      <c r="B234" s="5"/>
      <c r="D234" s="6"/>
      <c r="F234" s="7"/>
      <c r="H234" s="5"/>
      <c r="J234" s="6"/>
      <c r="L234" s="7"/>
    </row>
    <row r="235" spans="2:12" x14ac:dyDescent="0.25">
      <c r="B235" s="5"/>
      <c r="C235" s="8" t="s">
        <v>0</v>
      </c>
      <c r="D235" s="9"/>
      <c r="E235" s="9"/>
      <c r="F235" s="10"/>
      <c r="H235" s="5"/>
      <c r="I235" s="8" t="s">
        <v>0</v>
      </c>
      <c r="J235" s="9"/>
      <c r="K235" s="9"/>
      <c r="L235" s="10"/>
    </row>
    <row r="236" spans="2:12" x14ac:dyDescent="0.25">
      <c r="B236" s="5"/>
      <c r="C236" s="11" t="s">
        <v>1</v>
      </c>
      <c r="D236" s="12"/>
      <c r="E236" s="12"/>
      <c r="F236" s="13"/>
      <c r="H236" s="5"/>
      <c r="I236" s="11" t="s">
        <v>1</v>
      </c>
      <c r="J236" s="12"/>
      <c r="K236" s="12"/>
      <c r="L236" s="13"/>
    </row>
    <row r="237" spans="2:12" x14ac:dyDescent="0.25">
      <c r="B237" s="5"/>
      <c r="C237" s="14"/>
      <c r="D237" t="s">
        <v>2</v>
      </c>
      <c r="F237" s="7" t="s">
        <v>3</v>
      </c>
      <c r="H237" s="5"/>
      <c r="I237" s="14"/>
      <c r="J237" t="s">
        <v>2</v>
      </c>
      <c r="L237" s="7" t="s">
        <v>3</v>
      </c>
    </row>
    <row r="238" spans="2:12" x14ac:dyDescent="0.25">
      <c r="B238" s="5"/>
      <c r="C238" s="14" t="s">
        <v>4</v>
      </c>
      <c r="D238">
        <v>2638.0619999999999</v>
      </c>
      <c r="F238" s="15">
        <v>1.6E-2</v>
      </c>
      <c r="H238" s="5"/>
      <c r="I238" s="14" t="s">
        <v>4</v>
      </c>
      <c r="J238">
        <v>2653.123</v>
      </c>
      <c r="L238" s="15">
        <v>1.6E-2</v>
      </c>
    </row>
    <row r="239" spans="2:12" x14ac:dyDescent="0.25">
      <c r="B239" s="5"/>
      <c r="C239" s="14" t="s">
        <v>5</v>
      </c>
      <c r="D239">
        <v>603.08199999999999</v>
      </c>
      <c r="F239" s="15">
        <v>5.3999999999999999E-2</v>
      </c>
      <c r="H239" s="5"/>
      <c r="I239" s="14" t="s">
        <v>5</v>
      </c>
      <c r="J239">
        <v>611.774</v>
      </c>
      <c r="L239" s="15">
        <v>5.3999999999999999E-2</v>
      </c>
    </row>
    <row r="240" spans="2:12" ht="15.75" thickBot="1" x14ac:dyDescent="0.3">
      <c r="B240" s="5"/>
      <c r="C240" s="16" t="s">
        <v>6</v>
      </c>
      <c r="D240">
        <v>627.98099999999999</v>
      </c>
      <c r="E240" s="17"/>
      <c r="F240" s="18">
        <v>8.5000000000000006E-2</v>
      </c>
      <c r="H240" s="5"/>
      <c r="I240" s="16" t="s">
        <v>6</v>
      </c>
      <c r="J240">
        <v>633.56399999999996</v>
      </c>
      <c r="K240" s="17"/>
      <c r="L240" s="18">
        <v>8.5999999999999993E-2</v>
      </c>
    </row>
    <row r="241" spans="2:12" ht="15.75" thickBot="1" x14ac:dyDescent="0.3">
      <c r="B241" s="5"/>
      <c r="D241" s="19">
        <v>3869.125</v>
      </c>
      <c r="F241" s="19">
        <v>0.155</v>
      </c>
      <c r="H241" s="5"/>
      <c r="J241" s="19">
        <v>3898.4609999999998</v>
      </c>
      <c r="L241" s="19">
        <v>0.156</v>
      </c>
    </row>
    <row r="242" spans="2:12" x14ac:dyDescent="0.25">
      <c r="B242" s="5"/>
      <c r="C242" s="8" t="s">
        <v>7</v>
      </c>
      <c r="D242" s="12"/>
      <c r="E242" s="9"/>
      <c r="F242" s="10"/>
      <c r="H242" s="5"/>
      <c r="I242" s="8" t="s">
        <v>7</v>
      </c>
      <c r="J242" s="12"/>
      <c r="K242" s="9"/>
      <c r="L242" s="10"/>
    </row>
    <row r="243" spans="2:12" x14ac:dyDescent="0.25">
      <c r="B243" s="5"/>
      <c r="C243" s="11" t="s">
        <v>1</v>
      </c>
      <c r="D243" s="12"/>
      <c r="E243" s="12"/>
      <c r="F243" s="13"/>
      <c r="H243" s="5"/>
      <c r="I243" s="11" t="s">
        <v>1</v>
      </c>
      <c r="J243" s="12"/>
      <c r="K243" s="12"/>
      <c r="L243" s="13"/>
    </row>
    <row r="244" spans="2:12" x14ac:dyDescent="0.25">
      <c r="B244" s="5"/>
      <c r="C244" s="14"/>
      <c r="D244" t="s">
        <v>2</v>
      </c>
      <c r="F244" s="7" t="s">
        <v>3</v>
      </c>
      <c r="H244" s="5"/>
      <c r="I244" s="14"/>
      <c r="J244" t="s">
        <v>2</v>
      </c>
      <c r="L244" s="7" t="s">
        <v>3</v>
      </c>
    </row>
    <row r="245" spans="2:12" x14ac:dyDescent="0.25">
      <c r="B245" s="5"/>
      <c r="C245" s="14" t="s">
        <v>4</v>
      </c>
      <c r="D245">
        <v>415.76799999999997</v>
      </c>
      <c r="F245" s="20">
        <v>745.78499999999997</v>
      </c>
      <c r="H245" s="5"/>
      <c r="I245" s="14" t="s">
        <v>4</v>
      </c>
      <c r="J245">
        <v>423.56400000000002</v>
      </c>
      <c r="L245" s="20">
        <v>747.678</v>
      </c>
    </row>
    <row r="246" spans="2:12" x14ac:dyDescent="0.25">
      <c r="B246" s="5"/>
      <c r="C246" s="14" t="s">
        <v>5</v>
      </c>
      <c r="D246">
        <v>214.428</v>
      </c>
      <c r="F246" s="21">
        <v>316.25599999999997</v>
      </c>
      <c r="H246" s="5"/>
      <c r="I246" s="14" t="s">
        <v>5</v>
      </c>
      <c r="J246">
        <v>220.20099999999999</v>
      </c>
      <c r="L246" s="21">
        <v>318.38900000000001</v>
      </c>
    </row>
    <row r="247" spans="2:12" ht="15.75" thickBot="1" x14ac:dyDescent="0.3">
      <c r="B247" s="5"/>
      <c r="C247" s="16" t="s">
        <v>6</v>
      </c>
      <c r="D247">
        <v>263.303</v>
      </c>
      <c r="E247" s="17"/>
      <c r="F247" s="21">
        <v>379.16399999999999</v>
      </c>
      <c r="H247" s="5"/>
      <c r="I247" s="16" t="s">
        <v>6</v>
      </c>
      <c r="J247">
        <v>268.19600000000003</v>
      </c>
      <c r="K247" s="17"/>
      <c r="L247" s="21">
        <v>383.91800000000001</v>
      </c>
    </row>
    <row r="248" spans="2:12" ht="15.75" thickBot="1" x14ac:dyDescent="0.3">
      <c r="B248" s="5"/>
      <c r="D248" s="19">
        <v>893.49900000000002</v>
      </c>
      <c r="F248" s="19">
        <v>1441.2049999999999</v>
      </c>
      <c r="H248" s="5"/>
      <c r="J248" s="19">
        <v>911.96100000000001</v>
      </c>
      <c r="L248" s="19">
        <v>1449.9849999999999</v>
      </c>
    </row>
    <row r="249" spans="2:12" x14ac:dyDescent="0.25">
      <c r="B249" s="22" t="s">
        <v>8</v>
      </c>
      <c r="C249" s="23"/>
      <c r="D249" s="23"/>
      <c r="E249" s="23">
        <f>D241-J220</f>
        <v>58.106000000000222</v>
      </c>
      <c r="F249" s="7"/>
      <c r="H249" s="22" t="s">
        <v>8</v>
      </c>
      <c r="I249" s="23"/>
      <c r="J249" s="23"/>
      <c r="K249" s="23">
        <f>J241-D241</f>
        <v>29.335999999999785</v>
      </c>
      <c r="L249" s="7"/>
    </row>
    <row r="250" spans="2:12" ht="15.75" thickBot="1" x14ac:dyDescent="0.3">
      <c r="B250" s="24" t="s">
        <v>9</v>
      </c>
      <c r="C250" s="25"/>
      <c r="D250" s="25"/>
      <c r="E250" s="25">
        <f>F248-L227</f>
        <v>25.996999999999844</v>
      </c>
      <c r="F250" s="26"/>
      <c r="H250" s="24" t="s">
        <v>9</v>
      </c>
      <c r="I250" s="25"/>
      <c r="J250" s="25"/>
      <c r="K250" s="25">
        <f>L248-F248</f>
        <v>8.7799999999999727</v>
      </c>
      <c r="L250" s="26"/>
    </row>
    <row r="251" spans="2:12" x14ac:dyDescent="0.25">
      <c r="B251" s="27" t="s">
        <v>10</v>
      </c>
      <c r="C251" s="27"/>
      <c r="D251" s="27"/>
      <c r="E251" s="27">
        <f>D248-J227</f>
        <v>33.009999999999991</v>
      </c>
      <c r="H251" s="27" t="s">
        <v>10</v>
      </c>
      <c r="I251" s="27"/>
      <c r="J251" s="27"/>
      <c r="K251" s="27">
        <f>J248-D248</f>
        <v>18.461999999999989</v>
      </c>
    </row>
    <row r="253" spans="2:12" ht="15.75" thickBot="1" x14ac:dyDescent="0.3"/>
    <row r="254" spans="2:12" x14ac:dyDescent="0.25">
      <c r="B254" s="1"/>
      <c r="C254" s="2"/>
      <c r="D254" s="3">
        <v>44818</v>
      </c>
      <c r="E254" s="2"/>
      <c r="F254" s="4"/>
      <c r="H254" s="1"/>
      <c r="I254" s="2"/>
      <c r="J254" s="3">
        <v>44826</v>
      </c>
      <c r="K254" s="2"/>
      <c r="L254" s="4"/>
    </row>
    <row r="255" spans="2:12" x14ac:dyDescent="0.25">
      <c r="B255" s="5"/>
      <c r="D255" s="6"/>
      <c r="F255" s="7"/>
      <c r="H255" s="5"/>
      <c r="J255" s="6"/>
      <c r="L255" s="7"/>
    </row>
    <row r="256" spans="2:12" x14ac:dyDescent="0.25">
      <c r="B256" s="5"/>
      <c r="C256" s="8" t="s">
        <v>0</v>
      </c>
      <c r="D256" s="9"/>
      <c r="E256" s="9"/>
      <c r="F256" s="10"/>
      <c r="H256" s="5"/>
      <c r="I256" s="8" t="s">
        <v>0</v>
      </c>
      <c r="J256" s="9"/>
      <c r="K256" s="9"/>
      <c r="L256" s="10"/>
    </row>
    <row r="257" spans="2:12" x14ac:dyDescent="0.25">
      <c r="B257" s="5"/>
      <c r="C257" s="11" t="s">
        <v>1</v>
      </c>
      <c r="D257" s="12"/>
      <c r="E257" s="12"/>
      <c r="F257" s="13"/>
      <c r="H257" s="5"/>
      <c r="I257" s="11" t="s">
        <v>1</v>
      </c>
      <c r="J257" s="12"/>
      <c r="K257" s="12"/>
      <c r="L257" s="13"/>
    </row>
    <row r="258" spans="2:12" x14ac:dyDescent="0.25">
      <c r="B258" s="5"/>
      <c r="C258" s="14"/>
      <c r="D258" t="s">
        <v>2</v>
      </c>
      <c r="F258" s="7" t="s">
        <v>3</v>
      </c>
      <c r="H258" s="5"/>
      <c r="I258" s="14"/>
      <c r="J258" t="s">
        <v>2</v>
      </c>
      <c r="L258" s="7" t="s">
        <v>3</v>
      </c>
    </row>
    <row r="259" spans="2:12" x14ac:dyDescent="0.25">
      <c r="B259" s="5"/>
      <c r="C259" s="14" t="s">
        <v>4</v>
      </c>
      <c r="D259">
        <v>2698.2539999999999</v>
      </c>
      <c r="F259" s="15">
        <v>1.6E-2</v>
      </c>
      <c r="H259" s="5"/>
      <c r="I259" s="14" t="s">
        <v>4</v>
      </c>
      <c r="J259">
        <v>2756.1559999999999</v>
      </c>
      <c r="L259" s="15">
        <v>1.6E-2</v>
      </c>
    </row>
    <row r="260" spans="2:12" x14ac:dyDescent="0.25">
      <c r="B260" s="5"/>
      <c r="C260" s="14" t="s">
        <v>5</v>
      </c>
      <c r="D260">
        <v>620.84500000000003</v>
      </c>
      <c r="F260" s="15">
        <v>5.6000000000000001E-2</v>
      </c>
      <c r="H260" s="5"/>
      <c r="I260" s="14" t="s">
        <v>5</v>
      </c>
      <c r="J260">
        <v>629.45799999999997</v>
      </c>
      <c r="L260" s="15">
        <v>5.7000000000000002E-2</v>
      </c>
    </row>
    <row r="261" spans="2:12" ht="15.75" thickBot="1" x14ac:dyDescent="0.3">
      <c r="B261" s="5"/>
      <c r="C261" s="16" t="s">
        <v>6</v>
      </c>
      <c r="D261">
        <v>646.45699999999999</v>
      </c>
      <c r="E261" s="17"/>
      <c r="F261" s="18">
        <v>0.09</v>
      </c>
      <c r="H261" s="5"/>
      <c r="I261" s="16" t="s">
        <v>6</v>
      </c>
      <c r="J261">
        <v>652.00599999999997</v>
      </c>
      <c r="K261" s="17"/>
      <c r="L261" s="18">
        <v>9.1999999999999998E-2</v>
      </c>
    </row>
    <row r="262" spans="2:12" ht="15.75" thickBot="1" x14ac:dyDescent="0.3">
      <c r="B262" s="5"/>
      <c r="D262" s="19">
        <v>3965.556</v>
      </c>
      <c r="F262" s="19">
        <v>0.16200000000000001</v>
      </c>
      <c r="H262" s="5"/>
      <c r="J262" s="19">
        <v>4037.62</v>
      </c>
      <c r="L262" s="19">
        <v>0.16500000000000001</v>
      </c>
    </row>
    <row r="263" spans="2:12" x14ac:dyDescent="0.25">
      <c r="B263" s="5"/>
      <c r="C263" s="8" t="s">
        <v>7</v>
      </c>
      <c r="D263" s="12"/>
      <c r="E263" s="9"/>
      <c r="F263" s="10"/>
      <c r="H263" s="5"/>
      <c r="I263" s="8" t="s">
        <v>7</v>
      </c>
      <c r="J263" s="12"/>
      <c r="K263" s="9"/>
      <c r="L263" s="10"/>
    </row>
    <row r="264" spans="2:12" x14ac:dyDescent="0.25">
      <c r="B264" s="5"/>
      <c r="C264" s="11" t="s">
        <v>1</v>
      </c>
      <c r="D264" s="12"/>
      <c r="E264" s="12"/>
      <c r="F264" s="13"/>
      <c r="H264" s="5"/>
      <c r="I264" s="11" t="s">
        <v>1</v>
      </c>
      <c r="J264" s="12"/>
      <c r="K264" s="12"/>
      <c r="L264" s="13"/>
    </row>
    <row r="265" spans="2:12" x14ac:dyDescent="0.25">
      <c r="B265" s="5"/>
      <c r="C265" s="14"/>
      <c r="D265" t="s">
        <v>2</v>
      </c>
      <c r="F265" s="7" t="s">
        <v>3</v>
      </c>
      <c r="H265" s="5"/>
      <c r="I265" s="14"/>
      <c r="J265" t="s">
        <v>2</v>
      </c>
      <c r="L265" s="7" t="s">
        <v>3</v>
      </c>
    </row>
    <row r="266" spans="2:12" x14ac:dyDescent="0.25">
      <c r="B266" s="5"/>
      <c r="C266" s="14" t="s">
        <v>4</v>
      </c>
      <c r="D266">
        <v>439.87400000000002</v>
      </c>
      <c r="F266" s="20">
        <v>756.45899999999995</v>
      </c>
      <c r="H266" s="5"/>
      <c r="I266" s="14" t="s">
        <v>4</v>
      </c>
      <c r="J266">
        <v>471.35300000000001</v>
      </c>
      <c r="L266" s="20">
        <v>769.23599999999999</v>
      </c>
    </row>
    <row r="267" spans="2:12" x14ac:dyDescent="0.25">
      <c r="B267" s="5"/>
      <c r="C267" s="14" t="s">
        <v>5</v>
      </c>
      <c r="D267">
        <v>228.95099999999999</v>
      </c>
      <c r="F267" s="21">
        <v>325.56799999999998</v>
      </c>
      <c r="H267" s="5"/>
      <c r="I267" s="14" t="s">
        <v>5</v>
      </c>
      <c r="J267">
        <v>235.68799999999999</v>
      </c>
      <c r="L267" s="21">
        <v>337.45699999999999</v>
      </c>
    </row>
    <row r="268" spans="2:12" ht="15.75" thickBot="1" x14ac:dyDescent="0.3">
      <c r="B268" s="5"/>
      <c r="C268" s="16" t="s">
        <v>6</v>
      </c>
      <c r="D268">
        <v>277.79199999999997</v>
      </c>
      <c r="E268" s="17"/>
      <c r="F268" s="21">
        <v>397.12400000000002</v>
      </c>
      <c r="H268" s="5"/>
      <c r="I268" s="16" t="s">
        <v>6</v>
      </c>
      <c r="J268">
        <v>285.09399999999999</v>
      </c>
      <c r="K268" s="17"/>
      <c r="L268" s="21">
        <v>411.03899999999999</v>
      </c>
    </row>
    <row r="269" spans="2:12" ht="15.75" thickBot="1" x14ac:dyDescent="0.3">
      <c r="B269" s="5"/>
      <c r="D269" s="19">
        <v>946.61699999999996</v>
      </c>
      <c r="F269" s="19">
        <v>1479.1510000000001</v>
      </c>
      <c r="H269" s="5"/>
      <c r="J269" s="19">
        <v>992.13499999999999</v>
      </c>
      <c r="L269" s="19">
        <v>1517.732</v>
      </c>
    </row>
    <row r="270" spans="2:12" x14ac:dyDescent="0.25">
      <c r="B270" s="22" t="s">
        <v>8</v>
      </c>
      <c r="C270" s="23"/>
      <c r="D270" s="23"/>
      <c r="E270" s="23">
        <f>D262-J241</f>
        <v>67.095000000000255</v>
      </c>
      <c r="F270" s="7"/>
      <c r="H270" s="22" t="s">
        <v>8</v>
      </c>
      <c r="I270" s="23"/>
      <c r="J270" s="23"/>
      <c r="K270" s="23">
        <f>J262-D262</f>
        <v>72.063999999999851</v>
      </c>
      <c r="L270" s="7"/>
    </row>
    <row r="271" spans="2:12" ht="15.75" thickBot="1" x14ac:dyDescent="0.3">
      <c r="B271" s="24" t="s">
        <v>9</v>
      </c>
      <c r="C271" s="25"/>
      <c r="D271" s="25"/>
      <c r="E271" s="25">
        <f>F269-L248</f>
        <v>29.166000000000167</v>
      </c>
      <c r="F271" s="26"/>
      <c r="H271" s="24" t="s">
        <v>9</v>
      </c>
      <c r="I271" s="25"/>
      <c r="J271" s="25"/>
      <c r="K271" s="25">
        <f>L269-F269</f>
        <v>38.580999999999904</v>
      </c>
      <c r="L271" s="26"/>
    </row>
    <row r="272" spans="2:12" x14ac:dyDescent="0.25">
      <c r="B272" s="27" t="s">
        <v>10</v>
      </c>
      <c r="C272" s="27"/>
      <c r="D272" s="27"/>
      <c r="E272" s="27">
        <f>D269-J248</f>
        <v>34.655999999999949</v>
      </c>
      <c r="H272" s="27" t="s">
        <v>10</v>
      </c>
      <c r="I272" s="27"/>
      <c r="J272" s="27"/>
      <c r="K272" s="27">
        <f>J269-D269</f>
        <v>45.518000000000029</v>
      </c>
    </row>
    <row r="274" spans="2:12" ht="15.75" thickBot="1" x14ac:dyDescent="0.3"/>
    <row r="275" spans="2:12" x14ac:dyDescent="0.25">
      <c r="B275" s="1"/>
      <c r="C275" s="2"/>
      <c r="D275" s="3">
        <v>44834</v>
      </c>
      <c r="E275" s="2"/>
      <c r="F275" s="4"/>
      <c r="H275" s="1"/>
      <c r="I275" s="2"/>
      <c r="J275" s="3">
        <v>44841</v>
      </c>
      <c r="K275" s="2"/>
      <c r="L275" s="4"/>
    </row>
    <row r="276" spans="2:12" x14ac:dyDescent="0.25">
      <c r="B276" s="5"/>
      <c r="D276" s="6"/>
      <c r="F276" s="7"/>
      <c r="H276" s="5"/>
      <c r="J276" s="6"/>
      <c r="L276" s="7"/>
    </row>
    <row r="277" spans="2:12" x14ac:dyDescent="0.25">
      <c r="B277" s="5"/>
      <c r="C277" s="8" t="s">
        <v>0</v>
      </c>
      <c r="D277" s="9"/>
      <c r="E277" s="9"/>
      <c r="F277" s="10"/>
      <c r="H277" s="5"/>
      <c r="I277" s="8" t="s">
        <v>0</v>
      </c>
      <c r="J277" s="9"/>
      <c r="K277" s="9"/>
      <c r="L277" s="10"/>
    </row>
    <row r="278" spans="2:12" x14ac:dyDescent="0.25">
      <c r="B278" s="5"/>
      <c r="C278" s="11" t="s">
        <v>1</v>
      </c>
      <c r="D278" s="12"/>
      <c r="E278" s="12"/>
      <c r="F278" s="13"/>
      <c r="H278" s="5"/>
      <c r="I278" s="11" t="s">
        <v>1</v>
      </c>
      <c r="J278" s="12"/>
      <c r="K278" s="12"/>
      <c r="L278" s="13"/>
    </row>
    <row r="279" spans="2:12" x14ac:dyDescent="0.25">
      <c r="B279" s="5"/>
      <c r="C279" s="14"/>
      <c r="D279" t="s">
        <v>2</v>
      </c>
      <c r="F279" s="7" t="s">
        <v>3</v>
      </c>
      <c r="H279" s="5"/>
      <c r="I279" s="14"/>
      <c r="J279" t="s">
        <v>2</v>
      </c>
      <c r="L279" s="7" t="s">
        <v>3</v>
      </c>
    </row>
    <row r="280" spans="2:12" x14ac:dyDescent="0.25">
      <c r="B280" s="5"/>
      <c r="C280" s="14" t="s">
        <v>4</v>
      </c>
      <c r="D280">
        <v>2781.087</v>
      </c>
      <c r="F280" s="15">
        <v>1.6E-2</v>
      </c>
      <c r="H280" s="5"/>
      <c r="I280" s="14" t="s">
        <v>4</v>
      </c>
      <c r="J280">
        <v>2795.547</v>
      </c>
      <c r="L280" s="15">
        <v>1.7000000000000001E-2</v>
      </c>
    </row>
    <row r="281" spans="2:12" x14ac:dyDescent="0.25">
      <c r="B281" s="5"/>
      <c r="C281" s="14" t="s">
        <v>5</v>
      </c>
      <c r="D281">
        <v>637.13099999999997</v>
      </c>
      <c r="F281" s="15">
        <v>5.8000000000000003E-2</v>
      </c>
      <c r="H281" s="5"/>
      <c r="I281" s="14" t="s">
        <v>5</v>
      </c>
      <c r="J281">
        <v>644.54700000000003</v>
      </c>
      <c r="L281" s="15">
        <v>5.8000000000000003E-2</v>
      </c>
    </row>
    <row r="282" spans="2:12" ht="15.75" thickBot="1" x14ac:dyDescent="0.3">
      <c r="B282" s="5"/>
      <c r="C282" s="16" t="s">
        <v>6</v>
      </c>
      <c r="D282">
        <v>652.66099999999994</v>
      </c>
      <c r="E282" s="17"/>
      <c r="F282" s="18">
        <v>9.4E-2</v>
      </c>
      <c r="H282" s="5"/>
      <c r="I282" s="16" t="s">
        <v>6</v>
      </c>
      <c r="J282">
        <v>660.25800000000004</v>
      </c>
      <c r="K282" s="17"/>
      <c r="L282" s="18">
        <v>9.4E-2</v>
      </c>
    </row>
    <row r="283" spans="2:12" ht="15.75" thickBot="1" x14ac:dyDescent="0.3">
      <c r="B283" s="5"/>
      <c r="D283" s="19">
        <v>4070.8789999999999</v>
      </c>
      <c r="F283" s="19">
        <v>0.16800000000000001</v>
      </c>
      <c r="H283" s="5"/>
      <c r="J283" s="19">
        <v>4100.3519999999999</v>
      </c>
      <c r="L283" s="19">
        <v>0.16900000000000001</v>
      </c>
    </row>
    <row r="284" spans="2:12" x14ac:dyDescent="0.25">
      <c r="B284" s="5"/>
      <c r="C284" s="8" t="s">
        <v>7</v>
      </c>
      <c r="D284" s="12"/>
      <c r="E284" s="9"/>
      <c r="F284" s="10"/>
      <c r="H284" s="5"/>
      <c r="I284" s="8" t="s">
        <v>7</v>
      </c>
      <c r="J284" s="12"/>
      <c r="K284" s="9"/>
      <c r="L284" s="10"/>
    </row>
    <row r="285" spans="2:12" x14ac:dyDescent="0.25">
      <c r="B285" s="5"/>
      <c r="C285" s="11" t="s">
        <v>1</v>
      </c>
      <c r="D285" s="12"/>
      <c r="E285" s="12"/>
      <c r="F285" s="13"/>
      <c r="H285" s="5"/>
      <c r="I285" s="11" t="s">
        <v>1</v>
      </c>
      <c r="J285" s="12"/>
      <c r="K285" s="12"/>
      <c r="L285" s="13"/>
    </row>
    <row r="286" spans="2:12" x14ac:dyDescent="0.25">
      <c r="B286" s="5"/>
      <c r="C286" s="14"/>
      <c r="D286" t="s">
        <v>2</v>
      </c>
      <c r="F286" s="7" t="s">
        <v>3</v>
      </c>
      <c r="H286" s="5"/>
      <c r="I286" s="14"/>
      <c r="J286" t="s">
        <v>2</v>
      </c>
      <c r="L286" s="7" t="s">
        <v>3</v>
      </c>
    </row>
    <row r="287" spans="2:12" x14ac:dyDescent="0.25">
      <c r="B287" s="5"/>
      <c r="C287" s="14" t="s">
        <v>4</v>
      </c>
      <c r="D287">
        <v>481.02199999999999</v>
      </c>
      <c r="F287" s="20">
        <v>783.89700000000005</v>
      </c>
      <c r="H287" s="5"/>
      <c r="I287" s="14" t="s">
        <v>4</v>
      </c>
      <c r="J287">
        <v>491.45699999999999</v>
      </c>
      <c r="L287" s="20">
        <v>790.25400000000002</v>
      </c>
    </row>
    <row r="288" spans="2:12" x14ac:dyDescent="0.25">
      <c r="B288" s="5"/>
      <c r="C288" s="14" t="s">
        <v>5</v>
      </c>
      <c r="D288">
        <v>242.524</v>
      </c>
      <c r="F288" s="21">
        <v>343.48399999999998</v>
      </c>
      <c r="H288" s="5"/>
      <c r="I288" s="14" t="s">
        <v>5</v>
      </c>
      <c r="J288">
        <v>250.24700000000001</v>
      </c>
      <c r="L288" s="21">
        <v>347.54700000000003</v>
      </c>
    </row>
    <row r="289" spans="2:12" ht="15.75" thickBot="1" x14ac:dyDescent="0.3">
      <c r="B289" s="5"/>
      <c r="C289" s="16" t="s">
        <v>6</v>
      </c>
      <c r="D289">
        <v>285.238</v>
      </c>
      <c r="E289" s="17"/>
      <c r="F289" s="21">
        <v>420.15100000000001</v>
      </c>
      <c r="H289" s="5"/>
      <c r="I289" s="16" t="s">
        <v>6</v>
      </c>
      <c r="J289">
        <v>292.25799999999998</v>
      </c>
      <c r="K289" s="17"/>
      <c r="L289" s="21">
        <v>428.56799999999998</v>
      </c>
    </row>
    <row r="290" spans="2:12" ht="15.75" thickBot="1" x14ac:dyDescent="0.3">
      <c r="B290" s="5"/>
      <c r="D290" s="19">
        <v>1008.784</v>
      </c>
      <c r="F290" s="19">
        <v>1537.5319999999999</v>
      </c>
      <c r="H290" s="5"/>
      <c r="J290" s="19">
        <v>1033.962</v>
      </c>
      <c r="L290" s="19">
        <v>1566.3689999999999</v>
      </c>
    </row>
    <row r="291" spans="2:12" x14ac:dyDescent="0.25">
      <c r="B291" s="22" t="s">
        <v>8</v>
      </c>
      <c r="C291" s="23"/>
      <c r="D291" s="23"/>
      <c r="E291" s="23">
        <f>D283-J262</f>
        <v>33.259000000000015</v>
      </c>
      <c r="F291" s="7"/>
      <c r="H291" s="22" t="s">
        <v>8</v>
      </c>
      <c r="I291" s="23"/>
      <c r="J291" s="23"/>
      <c r="K291" s="23">
        <f>J283-D283</f>
        <v>29.472999999999956</v>
      </c>
      <c r="L291" s="7"/>
    </row>
    <row r="292" spans="2:12" ht="15.75" thickBot="1" x14ac:dyDescent="0.3">
      <c r="B292" s="24" t="s">
        <v>9</v>
      </c>
      <c r="C292" s="25"/>
      <c r="D292" s="25"/>
      <c r="E292" s="25">
        <f>F290-L269</f>
        <v>19.799999999999955</v>
      </c>
      <c r="F292" s="26"/>
      <c r="H292" s="24" t="s">
        <v>9</v>
      </c>
      <c r="I292" s="25"/>
      <c r="J292" s="25"/>
      <c r="K292" s="25">
        <f>L290-F290</f>
        <v>28.836999999999989</v>
      </c>
      <c r="L292" s="26"/>
    </row>
    <row r="293" spans="2:12" x14ac:dyDescent="0.25">
      <c r="B293" s="27" t="s">
        <v>10</v>
      </c>
      <c r="C293" s="27"/>
      <c r="D293" s="27"/>
      <c r="E293" s="27">
        <f>D290-J269</f>
        <v>16.649000000000001</v>
      </c>
      <c r="H293" s="27" t="s">
        <v>10</v>
      </c>
      <c r="I293" s="27"/>
      <c r="J293" s="27"/>
      <c r="K293" s="27">
        <f>J290-D290</f>
        <v>25.177999999999997</v>
      </c>
    </row>
    <row r="295" spans="2:12" ht="15.75" thickBot="1" x14ac:dyDescent="0.3"/>
    <row r="296" spans="2:12" x14ac:dyDescent="0.25">
      <c r="B296" s="1"/>
      <c r="C296" s="2"/>
      <c r="D296" s="3">
        <v>44848</v>
      </c>
      <c r="E296" s="2"/>
      <c r="F296" s="4"/>
      <c r="H296" s="1"/>
      <c r="I296" s="2"/>
      <c r="J296" s="3">
        <v>44858</v>
      </c>
      <c r="K296" s="2"/>
      <c r="L296" s="4"/>
    </row>
    <row r="297" spans="2:12" x14ac:dyDescent="0.25">
      <c r="B297" s="5"/>
      <c r="D297" s="6"/>
      <c r="F297" s="7"/>
      <c r="H297" s="5"/>
      <c r="J297" s="6"/>
      <c r="L297" s="7"/>
    </row>
    <row r="298" spans="2:12" x14ac:dyDescent="0.25">
      <c r="B298" s="5"/>
      <c r="C298" s="8" t="s">
        <v>0</v>
      </c>
      <c r="D298" s="9"/>
      <c r="E298" s="9"/>
      <c r="F298" s="10"/>
      <c r="H298" s="5"/>
      <c r="I298" s="8" t="s">
        <v>0</v>
      </c>
      <c r="J298" s="9"/>
      <c r="K298" s="9"/>
      <c r="L298" s="10"/>
    </row>
    <row r="299" spans="2:12" x14ac:dyDescent="0.25">
      <c r="B299" s="5"/>
      <c r="C299" s="11" t="s">
        <v>1</v>
      </c>
      <c r="D299" s="12"/>
      <c r="E299" s="12"/>
      <c r="F299" s="13"/>
      <c r="H299" s="5"/>
      <c r="I299" s="11" t="s">
        <v>1</v>
      </c>
      <c r="J299" s="12"/>
      <c r="K299" s="12"/>
      <c r="L299" s="13"/>
    </row>
    <row r="300" spans="2:12" x14ac:dyDescent="0.25">
      <c r="B300" s="5"/>
      <c r="C300" s="14"/>
      <c r="D300" t="s">
        <v>2</v>
      </c>
      <c r="F300" s="7" t="s">
        <v>3</v>
      </c>
      <c r="H300" s="5"/>
      <c r="I300" s="14"/>
      <c r="J300" t="s">
        <v>2</v>
      </c>
      <c r="L300" s="7" t="s">
        <v>3</v>
      </c>
    </row>
    <row r="301" spans="2:12" x14ac:dyDescent="0.25">
      <c r="B301" s="5"/>
      <c r="C301" s="14" t="s">
        <v>4</v>
      </c>
      <c r="D301">
        <v>2820.6869999999999</v>
      </c>
      <c r="F301" s="15">
        <v>1.7000000000000001E-2</v>
      </c>
      <c r="H301" s="5"/>
      <c r="I301" s="14" t="s">
        <v>4</v>
      </c>
      <c r="J301">
        <v>2871.6019999999999</v>
      </c>
      <c r="L301" s="15">
        <v>1.7999999999999999E-2</v>
      </c>
    </row>
    <row r="302" spans="2:12" x14ac:dyDescent="0.25">
      <c r="B302" s="5"/>
      <c r="C302" s="14" t="s">
        <v>5</v>
      </c>
      <c r="D302">
        <v>652.89400000000001</v>
      </c>
      <c r="F302" s="15">
        <v>5.8999999999999997E-2</v>
      </c>
      <c r="H302" s="5"/>
      <c r="I302" s="14" t="s">
        <v>5</v>
      </c>
      <c r="J302">
        <v>661.56899999999996</v>
      </c>
      <c r="L302" s="15">
        <v>5.8999999999999997E-2</v>
      </c>
    </row>
    <row r="303" spans="2:12" ht="15.75" thickBot="1" x14ac:dyDescent="0.3">
      <c r="B303" s="5"/>
      <c r="C303" s="16" t="s">
        <v>6</v>
      </c>
      <c r="D303">
        <v>669.36500000000001</v>
      </c>
      <c r="E303" s="17"/>
      <c r="F303" s="18">
        <v>9.5000000000000001E-2</v>
      </c>
      <c r="H303" s="5"/>
      <c r="I303" s="16" t="s">
        <v>6</v>
      </c>
      <c r="J303">
        <v>679.84500000000003</v>
      </c>
      <c r="K303" s="17"/>
      <c r="L303" s="18">
        <v>9.6000000000000002E-2</v>
      </c>
    </row>
    <row r="304" spans="2:12" ht="15.75" thickBot="1" x14ac:dyDescent="0.3">
      <c r="B304" s="5"/>
      <c r="D304" s="19">
        <v>4142.9459999999999</v>
      </c>
      <c r="F304" s="19">
        <v>0.17100000000000001</v>
      </c>
      <c r="H304" s="5"/>
      <c r="J304" s="19">
        <v>4213.0159999999996</v>
      </c>
      <c r="L304" s="19">
        <v>0.17299999999999999</v>
      </c>
    </row>
    <row r="305" spans="2:12" x14ac:dyDescent="0.25">
      <c r="B305" s="5"/>
      <c r="C305" s="8" t="s">
        <v>7</v>
      </c>
      <c r="D305" s="12"/>
      <c r="E305" s="9"/>
      <c r="F305" s="10"/>
      <c r="H305" s="5"/>
      <c r="I305" s="8" t="s">
        <v>7</v>
      </c>
      <c r="J305" s="12"/>
      <c r="K305" s="9"/>
      <c r="L305" s="10"/>
    </row>
    <row r="306" spans="2:12" x14ac:dyDescent="0.25">
      <c r="B306" s="5"/>
      <c r="C306" s="11" t="s">
        <v>1</v>
      </c>
      <c r="D306" s="12"/>
      <c r="E306" s="12"/>
      <c r="F306" s="13"/>
      <c r="H306" s="5"/>
      <c r="I306" s="11" t="s">
        <v>1</v>
      </c>
      <c r="J306" s="12"/>
      <c r="K306" s="12"/>
      <c r="L306" s="13"/>
    </row>
    <row r="307" spans="2:12" x14ac:dyDescent="0.25">
      <c r="B307" s="5"/>
      <c r="C307" s="14"/>
      <c r="D307" t="s">
        <v>2</v>
      </c>
      <c r="F307" s="7" t="s">
        <v>3</v>
      </c>
      <c r="H307" s="5"/>
      <c r="I307" s="14"/>
      <c r="J307" t="s">
        <v>2</v>
      </c>
      <c r="L307" s="7" t="s">
        <v>3</v>
      </c>
    </row>
    <row r="308" spans="2:12" x14ac:dyDescent="0.25">
      <c r="B308" s="5"/>
      <c r="C308" s="14" t="s">
        <v>4</v>
      </c>
      <c r="D308">
        <v>499.35700000000003</v>
      </c>
      <c r="F308" s="20">
        <v>797.35400000000004</v>
      </c>
      <c r="H308" s="5"/>
      <c r="I308" s="14" t="s">
        <v>4</v>
      </c>
      <c r="J308">
        <v>512.54</v>
      </c>
      <c r="L308" s="20">
        <v>809.23</v>
      </c>
    </row>
    <row r="309" spans="2:12" x14ac:dyDescent="0.25">
      <c r="B309" s="5"/>
      <c r="C309" s="14" t="s">
        <v>5</v>
      </c>
      <c r="D309">
        <v>258.54700000000003</v>
      </c>
      <c r="F309" s="21">
        <v>351.25700000000001</v>
      </c>
      <c r="H309" s="5"/>
      <c r="I309" s="14" t="s">
        <v>5</v>
      </c>
      <c r="J309">
        <v>264.07400000000001</v>
      </c>
      <c r="L309" s="21">
        <v>359.46499999999997</v>
      </c>
    </row>
    <row r="310" spans="2:12" ht="15.75" thickBot="1" x14ac:dyDescent="0.3">
      <c r="B310" s="5"/>
      <c r="C310" s="16" t="s">
        <v>6</v>
      </c>
      <c r="D310">
        <v>301.23399999999998</v>
      </c>
      <c r="E310" s="17"/>
      <c r="F310" s="21">
        <v>434.87400000000002</v>
      </c>
      <c r="H310" s="5"/>
      <c r="I310" s="16" t="s">
        <v>6</v>
      </c>
      <c r="J310">
        <v>309.779</v>
      </c>
      <c r="K310" s="17"/>
      <c r="L310" s="21">
        <v>447.11700000000002</v>
      </c>
    </row>
    <row r="311" spans="2:12" ht="15.75" thickBot="1" x14ac:dyDescent="0.3">
      <c r="B311" s="5"/>
      <c r="D311" s="19">
        <v>1059.1379999999999</v>
      </c>
      <c r="F311" s="19">
        <v>1583.4849999999999</v>
      </c>
      <c r="H311" s="5"/>
      <c r="J311" s="19">
        <v>1086.393</v>
      </c>
      <c r="L311" s="19">
        <v>1615.8119999999999</v>
      </c>
    </row>
    <row r="312" spans="2:12" x14ac:dyDescent="0.25">
      <c r="B312" s="22" t="s">
        <v>8</v>
      </c>
      <c r="C312" s="23"/>
      <c r="D312" s="23"/>
      <c r="E312" s="23">
        <f>D304-J283</f>
        <v>42.594000000000051</v>
      </c>
      <c r="F312" s="7"/>
      <c r="H312" s="22" t="s">
        <v>8</v>
      </c>
      <c r="I312" s="23"/>
      <c r="J312" s="23"/>
      <c r="K312" s="23">
        <f>J304-D304</f>
        <v>70.069999999999709</v>
      </c>
      <c r="L312" s="7"/>
    </row>
    <row r="313" spans="2:12" ht="15.75" thickBot="1" x14ac:dyDescent="0.3">
      <c r="B313" s="24" t="s">
        <v>9</v>
      </c>
      <c r="C313" s="25"/>
      <c r="D313" s="25"/>
      <c r="E313" s="25">
        <f>'LETTURA SETTIMANALE '!F311-'LETTURA SETTIMANALE '!L290</f>
        <v>17.115999999999985</v>
      </c>
      <c r="F313" s="26"/>
      <c r="H313" s="24" t="s">
        <v>9</v>
      </c>
      <c r="I313" s="25"/>
      <c r="J313" s="25"/>
      <c r="K313" s="25">
        <f>L311-F311</f>
        <v>32.326999999999998</v>
      </c>
      <c r="L313" s="26"/>
    </row>
    <row r="314" spans="2:12" x14ac:dyDescent="0.25">
      <c r="B314" s="27" t="s">
        <v>10</v>
      </c>
      <c r="C314" s="27"/>
      <c r="D314" s="27"/>
      <c r="E314" s="27">
        <f>D311-J290</f>
        <v>25.175999999999931</v>
      </c>
      <c r="H314" s="27" t="s">
        <v>10</v>
      </c>
      <c r="I314" s="27"/>
      <c r="J314" s="27"/>
      <c r="K314" s="27">
        <f>J311-D311</f>
        <v>27.255000000000109</v>
      </c>
    </row>
    <row r="316" spans="2:12" ht="15.75" thickBot="1" x14ac:dyDescent="0.3"/>
    <row r="317" spans="2:12" x14ac:dyDescent="0.25">
      <c r="B317" s="1"/>
      <c r="C317" s="2"/>
      <c r="D317" s="3">
        <v>44862</v>
      </c>
      <c r="E317" s="2"/>
      <c r="F317" s="4"/>
      <c r="H317" s="1"/>
      <c r="I317" s="2"/>
      <c r="J317" s="3">
        <v>44872</v>
      </c>
      <c r="K317" s="2"/>
      <c r="L317" s="4"/>
    </row>
    <row r="318" spans="2:12" x14ac:dyDescent="0.25">
      <c r="B318" s="5"/>
      <c r="D318" s="6"/>
      <c r="F318" s="7"/>
      <c r="H318" s="5"/>
      <c r="J318" s="6"/>
      <c r="L318" s="7"/>
    </row>
    <row r="319" spans="2:12" x14ac:dyDescent="0.25">
      <c r="B319" s="5"/>
      <c r="C319" s="8" t="s">
        <v>0</v>
      </c>
      <c r="D319" s="9"/>
      <c r="E319" s="9"/>
      <c r="F319" s="10"/>
      <c r="H319" s="5"/>
      <c r="I319" s="8" t="s">
        <v>0</v>
      </c>
      <c r="J319" s="9"/>
      <c r="K319" s="9"/>
      <c r="L319" s="10"/>
    </row>
    <row r="320" spans="2:12" x14ac:dyDescent="0.25">
      <c r="B320" s="5"/>
      <c r="C320" s="11" t="s">
        <v>1</v>
      </c>
      <c r="D320" s="12"/>
      <c r="E320" s="12"/>
      <c r="F320" s="13"/>
      <c r="H320" s="5"/>
      <c r="I320" s="11" t="s">
        <v>1</v>
      </c>
      <c r="J320" s="12"/>
      <c r="K320" s="12"/>
      <c r="L320" s="13"/>
    </row>
    <row r="321" spans="2:12" x14ac:dyDescent="0.25">
      <c r="B321" s="5"/>
      <c r="C321" s="14"/>
      <c r="D321" t="s">
        <v>2</v>
      </c>
      <c r="F321" s="7" t="s">
        <v>3</v>
      </c>
      <c r="H321" s="5"/>
      <c r="I321" s="14"/>
      <c r="J321" t="s">
        <v>2</v>
      </c>
      <c r="L321" s="7" t="s">
        <v>3</v>
      </c>
    </row>
    <row r="322" spans="2:12" x14ac:dyDescent="0.25">
      <c r="B322" s="5"/>
      <c r="C322" s="14" t="s">
        <v>4</v>
      </c>
      <c r="D322">
        <v>2898.2730000000001</v>
      </c>
      <c r="F322" s="15">
        <v>1.9E-2</v>
      </c>
      <c r="H322" s="5"/>
      <c r="I322" s="14" t="s">
        <v>4</v>
      </c>
      <c r="J322">
        <v>2902.451</v>
      </c>
      <c r="L322" s="15">
        <v>1.9E-2</v>
      </c>
    </row>
    <row r="323" spans="2:12" x14ac:dyDescent="0.25">
      <c r="B323" s="5"/>
      <c r="C323" s="14" t="s">
        <v>5</v>
      </c>
      <c r="D323">
        <v>661.59299999999996</v>
      </c>
      <c r="F323" s="15">
        <v>0.06</v>
      </c>
      <c r="H323" s="5"/>
      <c r="I323" s="14" t="s">
        <v>5</v>
      </c>
      <c r="J323">
        <v>665.12400000000002</v>
      </c>
      <c r="L323" s="15">
        <v>0.06</v>
      </c>
    </row>
    <row r="324" spans="2:12" ht="15.75" thickBot="1" x14ac:dyDescent="0.3">
      <c r="B324" s="5"/>
      <c r="C324" s="16" t="s">
        <v>6</v>
      </c>
      <c r="D324">
        <v>679.85400000000004</v>
      </c>
      <c r="E324" s="17"/>
      <c r="F324" s="18">
        <v>9.6000000000000002E-2</v>
      </c>
      <c r="H324" s="5"/>
      <c r="I324" s="16" t="s">
        <v>6</v>
      </c>
      <c r="J324">
        <v>688.78499999999997</v>
      </c>
      <c r="K324" s="17"/>
      <c r="L324" s="18">
        <v>9.6000000000000002E-2</v>
      </c>
    </row>
    <row r="325" spans="2:12" ht="15.75" thickBot="1" x14ac:dyDescent="0.3">
      <c r="B325" s="5"/>
      <c r="D325" s="19">
        <v>4239.72</v>
      </c>
      <c r="F325" s="19">
        <v>0.17499999999999999</v>
      </c>
      <c r="H325" s="5"/>
      <c r="J325" s="19">
        <v>4256.3599999999997</v>
      </c>
      <c r="L325" s="19">
        <v>0.17499999999999999</v>
      </c>
    </row>
    <row r="326" spans="2:12" x14ac:dyDescent="0.25">
      <c r="B326" s="5"/>
      <c r="C326" s="8" t="s">
        <v>7</v>
      </c>
      <c r="D326" s="12"/>
      <c r="E326" s="9"/>
      <c r="F326" s="10"/>
      <c r="H326" s="5"/>
      <c r="I326" s="8" t="s">
        <v>7</v>
      </c>
      <c r="J326" s="12"/>
      <c r="K326" s="9"/>
      <c r="L326" s="10"/>
    </row>
    <row r="327" spans="2:12" x14ac:dyDescent="0.25">
      <c r="B327" s="5"/>
      <c r="C327" s="11" t="s">
        <v>1</v>
      </c>
      <c r="D327" s="12"/>
      <c r="E327" s="12"/>
      <c r="F327" s="13"/>
      <c r="H327" s="5"/>
      <c r="I327" s="11" t="s">
        <v>1</v>
      </c>
      <c r="J327" s="12"/>
      <c r="K327" s="12"/>
      <c r="L327" s="13"/>
    </row>
    <row r="328" spans="2:12" x14ac:dyDescent="0.25">
      <c r="B328" s="5"/>
      <c r="C328" s="14"/>
      <c r="D328" t="s">
        <v>2</v>
      </c>
      <c r="F328" s="7" t="s">
        <v>3</v>
      </c>
      <c r="H328" s="5"/>
      <c r="I328" s="14"/>
      <c r="J328" t="s">
        <v>2</v>
      </c>
      <c r="L328" s="7" t="s">
        <v>3</v>
      </c>
    </row>
    <row r="329" spans="2:12" x14ac:dyDescent="0.25">
      <c r="B329" s="5"/>
      <c r="C329" s="14" t="s">
        <v>4</v>
      </c>
      <c r="D329">
        <v>524.529</v>
      </c>
      <c r="F329" s="20">
        <v>815.29</v>
      </c>
      <c r="H329" s="5"/>
      <c r="I329" s="14" t="s">
        <v>4</v>
      </c>
      <c r="J329">
        <v>529.78499999999997</v>
      </c>
      <c r="L329" s="20">
        <v>841.53499999999997</v>
      </c>
    </row>
    <row r="330" spans="2:12" x14ac:dyDescent="0.25">
      <c r="B330" s="5"/>
      <c r="C330" s="14" t="s">
        <v>5</v>
      </c>
      <c r="D330">
        <v>264.07400000000001</v>
      </c>
      <c r="F330" s="21">
        <v>362.80599999999998</v>
      </c>
      <c r="H330" s="5"/>
      <c r="I330" s="14" t="s">
        <v>5</v>
      </c>
      <c r="J330">
        <v>267.12400000000002</v>
      </c>
      <c r="L330" s="21">
        <v>369.23399999999998</v>
      </c>
    </row>
    <row r="331" spans="2:12" ht="15.75" thickBot="1" x14ac:dyDescent="0.3">
      <c r="B331" s="5"/>
      <c r="C331" s="16" t="s">
        <v>6</v>
      </c>
      <c r="D331">
        <v>309.779</v>
      </c>
      <c r="E331" s="17"/>
      <c r="F331" s="21">
        <v>451.38</v>
      </c>
      <c r="H331" s="5"/>
      <c r="I331" s="16" t="s">
        <v>6</v>
      </c>
      <c r="J331">
        <v>317.459</v>
      </c>
      <c r="K331" s="17"/>
      <c r="L331" s="21">
        <v>463.58300000000003</v>
      </c>
    </row>
    <row r="332" spans="2:12" ht="15.75" thickBot="1" x14ac:dyDescent="0.3">
      <c r="B332" s="5"/>
      <c r="D332" s="19">
        <v>1098.3820000000001</v>
      </c>
      <c r="F332" s="19">
        <v>1629.4760000000001</v>
      </c>
      <c r="H332" s="5"/>
      <c r="J332" s="19">
        <v>1114.3679999999999</v>
      </c>
      <c r="L332" s="19">
        <v>1674.3520000000001</v>
      </c>
    </row>
    <row r="333" spans="2:12" x14ac:dyDescent="0.25">
      <c r="B333" s="22" t="s">
        <v>8</v>
      </c>
      <c r="C333" s="23"/>
      <c r="D333" s="23"/>
      <c r="E333" s="23">
        <f>D325-J304</f>
        <v>26.704000000000633</v>
      </c>
      <c r="F333" s="7"/>
      <c r="H333" s="22" t="s">
        <v>8</v>
      </c>
      <c r="I333" s="23"/>
      <c r="J333" s="23"/>
      <c r="K333" s="23">
        <f>J325-D325</f>
        <v>16.639999999999418</v>
      </c>
      <c r="L333" s="7"/>
    </row>
    <row r="334" spans="2:12" ht="15.75" thickBot="1" x14ac:dyDescent="0.3">
      <c r="B334" s="24" t="s">
        <v>9</v>
      </c>
      <c r="C334" s="25"/>
      <c r="D334" s="25"/>
      <c r="E334" s="25">
        <f>F332-L311</f>
        <v>13.664000000000215</v>
      </c>
      <c r="F334" s="26"/>
      <c r="H334" s="24" t="s">
        <v>9</v>
      </c>
      <c r="I334" s="25"/>
      <c r="J334" s="25"/>
      <c r="K334" s="25">
        <f>L332-F332</f>
        <v>44.875999999999976</v>
      </c>
      <c r="L334" s="26"/>
    </row>
    <row r="335" spans="2:12" x14ac:dyDescent="0.25">
      <c r="B335" s="27" t="s">
        <v>10</v>
      </c>
      <c r="C335" s="27"/>
      <c r="D335" s="27"/>
      <c r="E335" s="27">
        <f>D332-J311</f>
        <v>11.989000000000033</v>
      </c>
      <c r="H335" s="27" t="s">
        <v>10</v>
      </c>
      <c r="I335" s="27"/>
      <c r="J335" s="27"/>
      <c r="K335" s="27">
        <f>J332-D332</f>
        <v>15.985999999999876</v>
      </c>
    </row>
    <row r="337" spans="2:12" ht="15.75" thickBot="1" x14ac:dyDescent="0.3"/>
    <row r="338" spans="2:12" x14ac:dyDescent="0.25">
      <c r="B338" s="1"/>
      <c r="C338" s="2"/>
      <c r="D338" s="3">
        <v>44880</v>
      </c>
      <c r="E338" s="2"/>
      <c r="F338" s="4"/>
      <c r="H338" s="1"/>
      <c r="I338" s="2"/>
      <c r="J338" s="3">
        <v>44888</v>
      </c>
      <c r="K338" s="2"/>
      <c r="L338" s="4"/>
    </row>
    <row r="339" spans="2:12" x14ac:dyDescent="0.25">
      <c r="B339" s="5"/>
      <c r="D339" s="6"/>
      <c r="F339" s="7"/>
      <c r="H339" s="5"/>
      <c r="J339" s="6"/>
      <c r="L339" s="7"/>
    </row>
    <row r="340" spans="2:12" x14ac:dyDescent="0.25">
      <c r="B340" s="5"/>
      <c r="C340" s="8" t="s">
        <v>0</v>
      </c>
      <c r="D340" s="9"/>
      <c r="E340" s="9"/>
      <c r="F340" s="10"/>
      <c r="H340" s="5"/>
      <c r="I340" s="8" t="s">
        <v>0</v>
      </c>
      <c r="J340" s="9"/>
      <c r="K340" s="9"/>
      <c r="L340" s="10"/>
    </row>
    <row r="341" spans="2:12" x14ac:dyDescent="0.25">
      <c r="B341" s="5"/>
      <c r="C341" s="11" t="s">
        <v>1</v>
      </c>
      <c r="D341" s="12"/>
      <c r="E341" s="12"/>
      <c r="F341" s="13"/>
      <c r="H341" s="5"/>
      <c r="I341" s="11" t="s">
        <v>1</v>
      </c>
      <c r="J341" s="12"/>
      <c r="K341" s="12"/>
      <c r="L341" s="13"/>
    </row>
    <row r="342" spans="2:12" x14ac:dyDescent="0.25">
      <c r="B342" s="5"/>
      <c r="C342" s="14"/>
      <c r="D342" t="s">
        <v>2</v>
      </c>
      <c r="F342" s="7" t="s">
        <v>3</v>
      </c>
      <c r="H342" s="5"/>
      <c r="I342" s="14"/>
      <c r="J342" t="s">
        <v>2</v>
      </c>
      <c r="L342" s="7" t="s">
        <v>3</v>
      </c>
    </row>
    <row r="343" spans="2:12" x14ac:dyDescent="0.25">
      <c r="B343" s="5"/>
      <c r="C343" s="14" t="s">
        <v>4</v>
      </c>
      <c r="D343">
        <v>2938.3890000000001</v>
      </c>
      <c r="F343" s="15">
        <v>1.9E-2</v>
      </c>
      <c r="H343" s="5"/>
      <c r="I343" s="14" t="s">
        <v>4</v>
      </c>
      <c r="J343">
        <v>2954.4270000000001</v>
      </c>
      <c r="L343" s="15">
        <v>2.1000000000000001E-2</v>
      </c>
    </row>
    <row r="344" spans="2:12" x14ac:dyDescent="0.25">
      <c r="B344" s="5"/>
      <c r="C344" s="14" t="s">
        <v>5</v>
      </c>
      <c r="D344">
        <v>670.97299999999996</v>
      </c>
      <c r="F344" s="15">
        <v>0.06</v>
      </c>
      <c r="H344" s="5"/>
      <c r="I344" s="14" t="s">
        <v>5</v>
      </c>
      <c r="J344">
        <v>671.39599999999996</v>
      </c>
      <c r="L344" s="15">
        <v>0.06</v>
      </c>
    </row>
    <row r="345" spans="2:12" ht="15.75" thickBot="1" x14ac:dyDescent="0.3">
      <c r="B345" s="5"/>
      <c r="C345" s="16" t="s">
        <v>6</v>
      </c>
      <c r="D345">
        <v>699.54499999999996</v>
      </c>
      <c r="E345" s="17"/>
      <c r="F345" s="18">
        <v>9.6000000000000002E-2</v>
      </c>
      <c r="H345" s="5"/>
      <c r="I345" s="16" t="s">
        <v>6</v>
      </c>
      <c r="J345">
        <v>702.197</v>
      </c>
      <c r="K345" s="17"/>
      <c r="L345" s="18">
        <v>9.7000000000000003E-2</v>
      </c>
    </row>
    <row r="346" spans="2:12" ht="15.75" thickBot="1" x14ac:dyDescent="0.3">
      <c r="B346" s="5"/>
      <c r="D346" s="19">
        <v>4308.9070000000002</v>
      </c>
      <c r="F346" s="19">
        <v>0.17499999999999999</v>
      </c>
      <c r="H346" s="5"/>
      <c r="J346" s="19">
        <v>4328.0200000000004</v>
      </c>
      <c r="L346" s="19">
        <v>0.17799999999999999</v>
      </c>
    </row>
    <row r="347" spans="2:12" x14ac:dyDescent="0.25">
      <c r="B347" s="5"/>
      <c r="C347" s="8" t="s">
        <v>7</v>
      </c>
      <c r="D347" s="12"/>
      <c r="E347" s="9"/>
      <c r="F347" s="10"/>
      <c r="H347" s="5"/>
      <c r="I347" s="8" t="s">
        <v>7</v>
      </c>
      <c r="J347" s="12"/>
      <c r="K347" s="9"/>
      <c r="L347" s="10"/>
    </row>
    <row r="348" spans="2:12" x14ac:dyDescent="0.25">
      <c r="B348" s="5"/>
      <c r="C348" s="11" t="s">
        <v>1</v>
      </c>
      <c r="D348" s="12"/>
      <c r="E348" s="12"/>
      <c r="F348" s="13"/>
      <c r="H348" s="5"/>
      <c r="I348" s="11" t="s">
        <v>1</v>
      </c>
      <c r="J348" s="12"/>
      <c r="K348" s="12"/>
      <c r="L348" s="13"/>
    </row>
    <row r="349" spans="2:12" x14ac:dyDescent="0.25">
      <c r="B349" s="5"/>
      <c r="C349" s="14"/>
      <c r="D349" t="s">
        <v>2</v>
      </c>
      <c r="F349" s="7" t="s">
        <v>3</v>
      </c>
      <c r="H349" s="5"/>
      <c r="I349" s="14"/>
      <c r="J349" t="s">
        <v>2</v>
      </c>
      <c r="L349" s="7" t="s">
        <v>3</v>
      </c>
    </row>
    <row r="350" spans="2:12" x14ac:dyDescent="0.25">
      <c r="B350" s="5"/>
      <c r="C350" s="14" t="s">
        <v>4</v>
      </c>
      <c r="D350">
        <v>535.48500000000001</v>
      </c>
      <c r="F350" s="20">
        <v>862.34400000000005</v>
      </c>
      <c r="H350" s="5"/>
      <c r="I350" s="14" t="s">
        <v>4</v>
      </c>
      <c r="J350">
        <v>539.29600000000005</v>
      </c>
      <c r="L350" s="20">
        <v>889.45799999999997</v>
      </c>
    </row>
    <row r="351" spans="2:12" x14ac:dyDescent="0.25">
      <c r="B351" s="5"/>
      <c r="C351" s="14" t="s">
        <v>5</v>
      </c>
      <c r="D351">
        <v>270.86900000000003</v>
      </c>
      <c r="F351" s="21">
        <v>376.34699999999998</v>
      </c>
      <c r="H351" s="5"/>
      <c r="I351" s="14" t="s">
        <v>5</v>
      </c>
      <c r="J351">
        <v>270.91800000000001</v>
      </c>
      <c r="L351" s="21">
        <v>383.553</v>
      </c>
    </row>
    <row r="352" spans="2:12" ht="15.75" thickBot="1" x14ac:dyDescent="0.3">
      <c r="B352" s="5"/>
      <c r="C352" s="16" t="s">
        <v>6</v>
      </c>
      <c r="D352">
        <v>327.01900000000001</v>
      </c>
      <c r="E352" s="17"/>
      <c r="F352" s="21">
        <v>474.05500000000001</v>
      </c>
      <c r="H352" s="5"/>
      <c r="I352" s="16" t="s">
        <v>6</v>
      </c>
      <c r="J352">
        <v>329.10399999999998</v>
      </c>
      <c r="K352" s="17"/>
      <c r="L352" s="21">
        <v>483.68200000000002</v>
      </c>
    </row>
    <row r="353" spans="2:12" ht="15.75" thickBot="1" x14ac:dyDescent="0.3">
      <c r="B353" s="5"/>
      <c r="D353" s="19">
        <v>1133.373</v>
      </c>
      <c r="F353" s="19">
        <v>1712.7460000000001</v>
      </c>
      <c r="H353" s="5"/>
      <c r="J353" s="19">
        <v>1139.318</v>
      </c>
      <c r="L353" s="19">
        <v>1756.693</v>
      </c>
    </row>
    <row r="354" spans="2:12" x14ac:dyDescent="0.25">
      <c r="B354" s="22" t="s">
        <v>8</v>
      </c>
      <c r="C354" s="23"/>
      <c r="D354" s="23"/>
      <c r="E354" s="23">
        <f>D346-J325</f>
        <v>52.54700000000048</v>
      </c>
      <c r="F354" s="7"/>
      <c r="H354" s="22" t="s">
        <v>8</v>
      </c>
      <c r="I354" s="23"/>
      <c r="J354" s="23"/>
      <c r="K354" s="23">
        <f>J346-D346</f>
        <v>19.113000000000284</v>
      </c>
      <c r="L354" s="7"/>
    </row>
    <row r="355" spans="2:12" ht="15.75" thickBot="1" x14ac:dyDescent="0.3">
      <c r="B355" s="24" t="s">
        <v>9</v>
      </c>
      <c r="C355" s="25"/>
      <c r="D355" s="25"/>
      <c r="E355" s="25">
        <f>F353-L332</f>
        <v>38.394000000000005</v>
      </c>
      <c r="F355" s="26"/>
      <c r="H355" s="24" t="s">
        <v>9</v>
      </c>
      <c r="I355" s="25"/>
      <c r="J355" s="25"/>
      <c r="K355" s="25">
        <f>'LETTURA SETTIMANALE '!L353-'LETTURA SETTIMANALE '!F353</f>
        <v>43.946999999999889</v>
      </c>
      <c r="L355" s="26"/>
    </row>
    <row r="356" spans="2:12" x14ac:dyDescent="0.25">
      <c r="B356" s="27" t="s">
        <v>10</v>
      </c>
      <c r="C356" s="27"/>
      <c r="D356" s="27"/>
      <c r="E356" s="27">
        <f>D353-J332</f>
        <v>19.005000000000109</v>
      </c>
      <c r="H356" s="27" t="s">
        <v>10</v>
      </c>
      <c r="I356" s="27"/>
      <c r="J356" s="27"/>
      <c r="K356" s="27">
        <f>J353-D353</f>
        <v>5.9449999999999363</v>
      </c>
    </row>
    <row r="358" spans="2:12" ht="15.75" thickBot="1" x14ac:dyDescent="0.3"/>
    <row r="359" spans="2:12" x14ac:dyDescent="0.25">
      <c r="B359" s="1"/>
      <c r="C359" s="2"/>
      <c r="D359" s="3">
        <v>44895</v>
      </c>
      <c r="E359" s="2"/>
      <c r="F359" s="4"/>
      <c r="H359" s="1"/>
      <c r="I359" s="2"/>
      <c r="J359" s="3">
        <v>44902</v>
      </c>
      <c r="K359" s="2"/>
      <c r="L359" s="4"/>
    </row>
    <row r="360" spans="2:12" x14ac:dyDescent="0.25">
      <c r="B360" s="5"/>
      <c r="D360" s="6"/>
      <c r="F360" s="7"/>
      <c r="H360" s="5"/>
      <c r="J360" s="6"/>
      <c r="L360" s="7"/>
    </row>
    <row r="361" spans="2:12" x14ac:dyDescent="0.25">
      <c r="B361" s="5"/>
      <c r="C361" s="8" t="s">
        <v>0</v>
      </c>
      <c r="D361" s="9"/>
      <c r="E361" s="9"/>
      <c r="F361" s="10"/>
      <c r="H361" s="5"/>
      <c r="I361" s="8" t="s">
        <v>0</v>
      </c>
      <c r="J361" s="9"/>
      <c r="K361" s="9"/>
      <c r="L361" s="10"/>
    </row>
    <row r="362" spans="2:12" x14ac:dyDescent="0.25">
      <c r="B362" s="5"/>
      <c r="C362" s="11" t="s">
        <v>1</v>
      </c>
      <c r="D362" s="12"/>
      <c r="E362" s="12"/>
      <c r="F362" s="13"/>
      <c r="H362" s="5"/>
      <c r="I362" s="11" t="s">
        <v>1</v>
      </c>
      <c r="J362" s="12"/>
      <c r="K362" s="12"/>
      <c r="L362" s="13"/>
    </row>
    <row r="363" spans="2:12" x14ac:dyDescent="0.25">
      <c r="B363" s="5"/>
      <c r="C363" s="14"/>
      <c r="D363" t="s">
        <v>2</v>
      </c>
      <c r="F363" s="7" t="s">
        <v>3</v>
      </c>
      <c r="H363" s="5"/>
      <c r="I363" s="14"/>
      <c r="J363" t="s">
        <v>2</v>
      </c>
      <c r="L363" s="7" t="s">
        <v>3</v>
      </c>
    </row>
    <row r="364" spans="2:12" x14ac:dyDescent="0.25">
      <c r="B364" s="5"/>
      <c r="C364" s="14" t="s">
        <v>4</v>
      </c>
      <c r="D364">
        <v>2969.8649999999998</v>
      </c>
      <c r="F364" s="15">
        <v>2.1999999999999999E-2</v>
      </c>
      <c r="H364" s="5"/>
      <c r="I364" s="14" t="s">
        <v>4</v>
      </c>
      <c r="J364">
        <v>2986.7130000000002</v>
      </c>
      <c r="L364" s="15">
        <v>2.1999999999999999E-2</v>
      </c>
    </row>
    <row r="365" spans="2:12" x14ac:dyDescent="0.25">
      <c r="B365" s="5"/>
      <c r="C365" s="14" t="s">
        <v>5</v>
      </c>
      <c r="D365">
        <v>672.24800000000005</v>
      </c>
      <c r="F365" s="15">
        <v>6.2E-2</v>
      </c>
      <c r="H365" s="5"/>
      <c r="I365" s="14" t="s">
        <v>5</v>
      </c>
      <c r="J365">
        <v>674.47500000000002</v>
      </c>
      <c r="L365" s="15">
        <v>6.2E-2</v>
      </c>
    </row>
    <row r="366" spans="2:12" ht="15.75" thickBot="1" x14ac:dyDescent="0.3">
      <c r="B366" s="5"/>
      <c r="C366" s="16" t="s">
        <v>6</v>
      </c>
      <c r="D366">
        <v>705.47500000000002</v>
      </c>
      <c r="E366" s="17"/>
      <c r="F366" s="18">
        <v>9.8000000000000004E-2</v>
      </c>
      <c r="H366" s="5"/>
      <c r="I366" s="16" t="s">
        <v>6</v>
      </c>
      <c r="J366">
        <v>709.72900000000004</v>
      </c>
      <c r="K366" s="17"/>
      <c r="L366" s="18">
        <v>9.8000000000000004E-2</v>
      </c>
    </row>
    <row r="367" spans="2:12" ht="15.75" thickBot="1" x14ac:dyDescent="0.3">
      <c r="B367" s="5"/>
      <c r="D367" s="19">
        <v>4347.5879999999997</v>
      </c>
      <c r="F367" s="19">
        <v>0.182</v>
      </c>
      <c r="H367" s="5"/>
      <c r="J367" s="19">
        <v>4370.9170000000004</v>
      </c>
      <c r="L367" s="19">
        <v>0.182</v>
      </c>
    </row>
    <row r="368" spans="2:12" x14ac:dyDescent="0.25">
      <c r="B368" s="5"/>
      <c r="C368" s="8" t="s">
        <v>7</v>
      </c>
      <c r="D368" s="12"/>
      <c r="E368" s="9"/>
      <c r="F368" s="10"/>
      <c r="H368" s="5"/>
      <c r="I368" s="8" t="s">
        <v>7</v>
      </c>
      <c r="J368" s="12"/>
      <c r="K368" s="9"/>
      <c r="L368" s="10"/>
    </row>
    <row r="369" spans="2:12" x14ac:dyDescent="0.25">
      <c r="B369" s="5"/>
      <c r="C369" s="11" t="s">
        <v>1</v>
      </c>
      <c r="D369" s="12"/>
      <c r="E369" s="12"/>
      <c r="F369" s="13"/>
      <c r="H369" s="5"/>
      <c r="I369" s="11" t="s">
        <v>1</v>
      </c>
      <c r="J369" s="12"/>
      <c r="K369" s="12"/>
      <c r="L369" s="13"/>
    </row>
    <row r="370" spans="2:12" x14ac:dyDescent="0.25">
      <c r="B370" s="5"/>
      <c r="C370" s="14"/>
      <c r="D370" t="s">
        <v>2</v>
      </c>
      <c r="F370" s="7" t="s">
        <v>3</v>
      </c>
      <c r="H370" s="5"/>
      <c r="I370" s="14"/>
      <c r="J370" t="s">
        <v>2</v>
      </c>
      <c r="L370" s="7" t="s">
        <v>3</v>
      </c>
    </row>
    <row r="371" spans="2:12" x14ac:dyDescent="0.25">
      <c r="B371" s="5"/>
      <c r="C371" s="14" t="s">
        <v>4</v>
      </c>
      <c r="D371">
        <v>541.654</v>
      </c>
      <c r="F371" s="20">
        <v>930.524</v>
      </c>
      <c r="H371" s="5"/>
      <c r="I371" s="14" t="s">
        <v>4</v>
      </c>
      <c r="J371">
        <v>543.45299999999997</v>
      </c>
      <c r="L371" s="20">
        <v>974.29</v>
      </c>
    </row>
    <row r="372" spans="2:12" x14ac:dyDescent="0.25">
      <c r="B372" s="5"/>
      <c r="C372" s="14" t="s">
        <v>5</v>
      </c>
      <c r="D372">
        <v>271.84100000000001</v>
      </c>
      <c r="F372" s="21">
        <v>393.745</v>
      </c>
      <c r="H372" s="5"/>
      <c r="I372" s="14" t="s">
        <v>5</v>
      </c>
      <c r="J372">
        <v>272.36799999999999</v>
      </c>
      <c r="L372" s="21">
        <v>409.12</v>
      </c>
    </row>
    <row r="373" spans="2:12" ht="15.75" thickBot="1" x14ac:dyDescent="0.3">
      <c r="B373" s="5"/>
      <c r="C373" s="16" t="s">
        <v>6</v>
      </c>
      <c r="D373">
        <v>332.25400000000002</v>
      </c>
      <c r="E373" s="17"/>
      <c r="F373" s="21">
        <v>491.12400000000002</v>
      </c>
      <c r="H373" s="5"/>
      <c r="I373" s="16" t="s">
        <v>6</v>
      </c>
      <c r="J373">
        <v>335.48</v>
      </c>
      <c r="K373" s="17"/>
      <c r="L373" s="21">
        <v>499.995</v>
      </c>
    </row>
    <row r="374" spans="2:12" ht="15.75" thickBot="1" x14ac:dyDescent="0.3">
      <c r="B374" s="5"/>
      <c r="D374" s="19">
        <v>1145.749</v>
      </c>
      <c r="F374" s="19">
        <v>1815.393</v>
      </c>
      <c r="H374" s="5"/>
      <c r="J374" s="19">
        <v>1151.3009999999999</v>
      </c>
      <c r="L374" s="19">
        <v>1883.405</v>
      </c>
    </row>
    <row r="375" spans="2:12" x14ac:dyDescent="0.25">
      <c r="B375" s="22" t="s">
        <v>8</v>
      </c>
      <c r="C375" s="23"/>
      <c r="D375" s="23"/>
      <c r="E375" s="23">
        <f>D367-J346</f>
        <v>19.567999999999302</v>
      </c>
      <c r="F375" s="7"/>
      <c r="H375" s="22" t="s">
        <v>8</v>
      </c>
      <c r="I375" s="23"/>
      <c r="J375" s="23"/>
      <c r="K375" s="23">
        <f>J367-D367</f>
        <v>23.329000000000633</v>
      </c>
      <c r="L375" s="7"/>
    </row>
    <row r="376" spans="2:12" ht="15.75" thickBot="1" x14ac:dyDescent="0.3">
      <c r="B376" s="24" t="s">
        <v>9</v>
      </c>
      <c r="C376" s="25"/>
      <c r="D376" s="25"/>
      <c r="E376" s="25">
        <f>F374-L353</f>
        <v>58.700000000000045</v>
      </c>
      <c r="F376" s="26"/>
      <c r="H376" s="24" t="s">
        <v>9</v>
      </c>
      <c r="I376" s="25"/>
      <c r="J376" s="25"/>
      <c r="K376" s="25">
        <f>L374-F374</f>
        <v>68.011999999999944</v>
      </c>
      <c r="L376" s="26"/>
    </row>
    <row r="377" spans="2:12" x14ac:dyDescent="0.25">
      <c r="B377" s="27" t="s">
        <v>10</v>
      </c>
      <c r="C377" s="27"/>
      <c r="D377" s="27"/>
      <c r="E377" s="27">
        <f>D374-J353</f>
        <v>6.43100000000004</v>
      </c>
      <c r="H377" s="27" t="s">
        <v>10</v>
      </c>
      <c r="I377" s="27"/>
      <c r="J377" s="27"/>
      <c r="K377" s="27">
        <f>J374-D374</f>
        <v>5.5519999999999072</v>
      </c>
    </row>
    <row r="379" spans="2:12" ht="15.75" thickBot="1" x14ac:dyDescent="0.3"/>
    <row r="380" spans="2:12" x14ac:dyDescent="0.25">
      <c r="B380" s="1"/>
      <c r="C380" s="2"/>
      <c r="D380" s="3">
        <v>44911</v>
      </c>
      <c r="E380" s="2"/>
      <c r="F380" s="4"/>
      <c r="H380" s="1"/>
      <c r="I380" s="2"/>
      <c r="J380" s="3">
        <v>44918</v>
      </c>
      <c r="K380" s="2"/>
      <c r="L380" s="4"/>
    </row>
    <row r="381" spans="2:12" x14ac:dyDescent="0.25">
      <c r="B381" s="5"/>
      <c r="D381" s="6"/>
      <c r="F381" s="7"/>
      <c r="H381" s="5"/>
      <c r="J381" s="6"/>
      <c r="L381" s="7"/>
    </row>
    <row r="382" spans="2:12" x14ac:dyDescent="0.25">
      <c r="B382" s="5"/>
      <c r="C382" s="8" t="s">
        <v>0</v>
      </c>
      <c r="D382" s="9"/>
      <c r="E382" s="9"/>
      <c r="F382" s="10"/>
      <c r="H382" s="5"/>
      <c r="I382" s="8" t="s">
        <v>0</v>
      </c>
      <c r="J382" s="9"/>
      <c r="K382" s="9"/>
      <c r="L382" s="10"/>
    </row>
    <row r="383" spans="2:12" x14ac:dyDescent="0.25">
      <c r="B383" s="5"/>
      <c r="C383" s="11" t="s">
        <v>1</v>
      </c>
      <c r="D383" s="12"/>
      <c r="E383" s="12"/>
      <c r="F383" s="13"/>
      <c r="H383" s="5"/>
      <c r="I383" s="11" t="s">
        <v>1</v>
      </c>
      <c r="J383" s="12"/>
      <c r="K383" s="12"/>
      <c r="L383" s="13"/>
    </row>
    <row r="384" spans="2:12" x14ac:dyDescent="0.25">
      <c r="B384" s="5"/>
      <c r="C384" s="14"/>
      <c r="D384" t="s">
        <v>2</v>
      </c>
      <c r="F384" s="7" t="s">
        <v>3</v>
      </c>
      <c r="H384" s="5"/>
      <c r="I384" s="14"/>
      <c r="J384" t="s">
        <v>2</v>
      </c>
      <c r="L384" s="7" t="s">
        <v>3</v>
      </c>
    </row>
    <row r="385" spans="2:12" x14ac:dyDescent="0.25">
      <c r="B385" s="5"/>
      <c r="C385" s="14" t="s">
        <v>4</v>
      </c>
      <c r="D385">
        <v>2997.6439999999998</v>
      </c>
      <c r="F385" s="15">
        <v>2.4E-2</v>
      </c>
      <c r="H385" s="5"/>
      <c r="I385" s="14" t="s">
        <v>4</v>
      </c>
      <c r="L385" s="15"/>
    </row>
    <row r="386" spans="2:12" x14ac:dyDescent="0.25">
      <c r="B386" s="5"/>
      <c r="C386" s="14" t="s">
        <v>5</v>
      </c>
      <c r="D386">
        <v>675.06799999999998</v>
      </c>
      <c r="F386" s="15">
        <v>6.2E-2</v>
      </c>
      <c r="H386" s="5"/>
      <c r="I386" s="14" t="s">
        <v>5</v>
      </c>
      <c r="L386" s="15"/>
    </row>
    <row r="387" spans="2:12" ht="15.75" thickBot="1" x14ac:dyDescent="0.3">
      <c r="B387" s="5"/>
      <c r="C387" s="16" t="s">
        <v>6</v>
      </c>
      <c r="D387">
        <v>714.35599999999999</v>
      </c>
      <c r="E387" s="17"/>
      <c r="F387" s="18">
        <v>9.9000000000000005E-2</v>
      </c>
      <c r="H387" s="5"/>
      <c r="I387" s="16" t="s">
        <v>6</v>
      </c>
      <c r="K387" s="17"/>
      <c r="L387" s="18"/>
    </row>
    <row r="388" spans="2:12" ht="15.75" thickBot="1" x14ac:dyDescent="0.3">
      <c r="B388" s="5"/>
      <c r="D388" s="19">
        <v>4387.0680000000002</v>
      </c>
      <c r="F388" s="19">
        <v>0.185</v>
      </c>
      <c r="H388" s="5"/>
      <c r="J388" s="19"/>
      <c r="L388" s="19"/>
    </row>
    <row r="389" spans="2:12" x14ac:dyDescent="0.25">
      <c r="B389" s="5"/>
      <c r="C389" s="8" t="s">
        <v>7</v>
      </c>
      <c r="D389" s="12"/>
      <c r="E389" s="9"/>
      <c r="F389" s="10"/>
      <c r="H389" s="5"/>
      <c r="I389" s="8" t="s">
        <v>7</v>
      </c>
      <c r="J389" s="12"/>
      <c r="K389" s="9"/>
      <c r="L389" s="10"/>
    </row>
    <row r="390" spans="2:12" x14ac:dyDescent="0.25">
      <c r="B390" s="5"/>
      <c r="C390" s="11" t="s">
        <v>1</v>
      </c>
      <c r="D390" s="12"/>
      <c r="E390" s="12"/>
      <c r="F390" s="13"/>
      <c r="H390" s="5"/>
      <c r="I390" s="11" t="s">
        <v>1</v>
      </c>
      <c r="J390" s="12"/>
      <c r="K390" s="12"/>
      <c r="L390" s="13"/>
    </row>
    <row r="391" spans="2:12" x14ac:dyDescent="0.25">
      <c r="B391" s="5"/>
      <c r="C391" s="14"/>
      <c r="D391" t="s">
        <v>2</v>
      </c>
      <c r="F391" s="7" t="s">
        <v>3</v>
      </c>
      <c r="H391" s="5"/>
      <c r="I391" s="14"/>
      <c r="J391" t="s">
        <v>2</v>
      </c>
      <c r="L391" s="7" t="s">
        <v>3</v>
      </c>
    </row>
    <row r="392" spans="2:12" x14ac:dyDescent="0.25">
      <c r="B392" s="5"/>
      <c r="C392" s="14" t="s">
        <v>4</v>
      </c>
      <c r="D392">
        <v>544.41800000000001</v>
      </c>
      <c r="F392" s="20">
        <v>1053.6189999999999</v>
      </c>
      <c r="H392" s="5"/>
      <c r="I392" s="14" t="s">
        <v>4</v>
      </c>
      <c r="L392" s="20"/>
    </row>
    <row r="393" spans="2:12" x14ac:dyDescent="0.25">
      <c r="B393" s="5"/>
      <c r="C393" s="14" t="s">
        <v>5</v>
      </c>
      <c r="D393">
        <v>272.52499999999998</v>
      </c>
      <c r="F393" s="21">
        <v>423.83699999999999</v>
      </c>
      <c r="H393" s="5"/>
      <c r="I393" s="14" t="s">
        <v>5</v>
      </c>
      <c r="L393" s="21"/>
    </row>
    <row r="394" spans="2:12" ht="15.75" thickBot="1" x14ac:dyDescent="0.3">
      <c r="B394" s="5"/>
      <c r="C394" s="16" t="s">
        <v>6</v>
      </c>
      <c r="D394">
        <v>338.53500000000003</v>
      </c>
      <c r="E394" s="17"/>
      <c r="F394" s="21">
        <v>521.97199999999998</v>
      </c>
      <c r="H394" s="5"/>
      <c r="I394" s="16" t="s">
        <v>6</v>
      </c>
      <c r="K394" s="17"/>
      <c r="L394" s="21"/>
    </row>
    <row r="395" spans="2:12" ht="15.75" thickBot="1" x14ac:dyDescent="0.3">
      <c r="B395" s="5"/>
      <c r="D395" s="19">
        <v>1155.4780000000001</v>
      </c>
      <c r="F395" s="19">
        <v>1999.4280000000001</v>
      </c>
      <c r="H395" s="5"/>
      <c r="J395" s="19"/>
      <c r="L395" s="19"/>
    </row>
    <row r="396" spans="2:12" x14ac:dyDescent="0.25">
      <c r="B396" s="22" t="s">
        <v>8</v>
      </c>
      <c r="C396" s="23"/>
      <c r="D396" s="23"/>
      <c r="E396" s="23">
        <f>D388-J367</f>
        <v>16.15099999999984</v>
      </c>
      <c r="F396" s="7"/>
      <c r="H396" s="22" t="s">
        <v>8</v>
      </c>
      <c r="I396" s="23"/>
      <c r="J396" s="23"/>
      <c r="K396" s="23"/>
      <c r="L396" s="7"/>
    </row>
    <row r="397" spans="2:12" ht="15.75" thickBot="1" x14ac:dyDescent="0.3">
      <c r="B397" s="24" t="s">
        <v>9</v>
      </c>
      <c r="C397" s="25"/>
      <c r="D397" s="25"/>
      <c r="E397" s="25">
        <f>F395-L374</f>
        <v>116.02300000000014</v>
      </c>
      <c r="F397" s="26"/>
      <c r="H397" s="24" t="s">
        <v>9</v>
      </c>
      <c r="I397" s="25"/>
      <c r="J397" s="25"/>
      <c r="K397" s="25"/>
      <c r="L397" s="26"/>
    </row>
    <row r="398" spans="2:12" x14ac:dyDescent="0.25">
      <c r="B398" s="27" t="s">
        <v>10</v>
      </c>
      <c r="C398" s="27"/>
      <c r="D398" s="27"/>
      <c r="E398" s="27">
        <f>D395-J374</f>
        <v>4.1770000000001346</v>
      </c>
      <c r="H398" s="27" t="s">
        <v>10</v>
      </c>
      <c r="I398" s="27"/>
      <c r="J398" s="27"/>
      <c r="K398" s="27"/>
    </row>
    <row r="400" spans="2:12" ht="15.75" thickBot="1" x14ac:dyDescent="0.3"/>
    <row r="401" spans="2:12" x14ac:dyDescent="0.25">
      <c r="B401" s="1"/>
      <c r="C401" s="2"/>
      <c r="D401" s="3">
        <v>44925</v>
      </c>
      <c r="E401" s="2"/>
      <c r="F401" s="4"/>
      <c r="H401" s="1"/>
      <c r="I401" s="2"/>
      <c r="J401" s="3">
        <v>44936</v>
      </c>
      <c r="K401" s="2"/>
      <c r="L401" s="4"/>
    </row>
    <row r="402" spans="2:12" x14ac:dyDescent="0.25">
      <c r="B402" s="5"/>
      <c r="D402" s="6"/>
      <c r="F402" s="7"/>
      <c r="H402" s="5"/>
      <c r="J402" s="6"/>
      <c r="L402" s="7"/>
    </row>
    <row r="403" spans="2:12" x14ac:dyDescent="0.25">
      <c r="B403" s="5"/>
      <c r="C403" s="8" t="s">
        <v>0</v>
      </c>
      <c r="D403" s="9"/>
      <c r="E403" s="9"/>
      <c r="F403" s="10"/>
      <c r="H403" s="5"/>
      <c r="I403" s="8" t="s">
        <v>0</v>
      </c>
      <c r="J403" s="9"/>
      <c r="K403" s="9"/>
      <c r="L403" s="10"/>
    </row>
    <row r="404" spans="2:12" x14ac:dyDescent="0.25">
      <c r="B404" s="5"/>
      <c r="C404" s="11" t="s">
        <v>1</v>
      </c>
      <c r="D404" s="12"/>
      <c r="E404" s="12"/>
      <c r="F404" s="13"/>
      <c r="H404" s="5"/>
      <c r="I404" s="11" t="s">
        <v>1</v>
      </c>
      <c r="J404" s="12"/>
      <c r="K404" s="12"/>
      <c r="L404" s="13"/>
    </row>
    <row r="405" spans="2:12" x14ac:dyDescent="0.25">
      <c r="B405" s="5"/>
      <c r="C405" s="14"/>
      <c r="D405" t="s">
        <v>2</v>
      </c>
      <c r="F405" s="7" t="s">
        <v>3</v>
      </c>
      <c r="H405" s="5"/>
      <c r="I405" s="14"/>
      <c r="J405" t="s">
        <v>2</v>
      </c>
      <c r="L405" s="7" t="s">
        <v>3</v>
      </c>
    </row>
    <row r="406" spans="2:12" x14ac:dyDescent="0.25">
      <c r="B406" s="5"/>
      <c r="C406" s="14" t="s">
        <v>4</v>
      </c>
      <c r="F406" s="15"/>
      <c r="H406" s="5"/>
      <c r="I406" s="14" t="s">
        <v>4</v>
      </c>
      <c r="J406">
        <v>3042.6640000000002</v>
      </c>
      <c r="L406" s="15">
        <v>2.5999999999999999E-2</v>
      </c>
    </row>
    <row r="407" spans="2:12" x14ac:dyDescent="0.25">
      <c r="B407" s="5"/>
      <c r="C407" s="14" t="s">
        <v>5</v>
      </c>
      <c r="F407" s="15"/>
      <c r="H407" s="5"/>
      <c r="I407" s="14" t="s">
        <v>5</v>
      </c>
      <c r="J407">
        <v>682.83699999999999</v>
      </c>
      <c r="L407" s="15">
        <v>6.3E-2</v>
      </c>
    </row>
    <row r="408" spans="2:12" ht="15.75" thickBot="1" x14ac:dyDescent="0.3">
      <c r="B408" s="5"/>
      <c r="C408" s="16" t="s">
        <v>6</v>
      </c>
      <c r="E408" s="17"/>
      <c r="F408" s="18"/>
      <c r="H408" s="5"/>
      <c r="I408" s="16" t="s">
        <v>6</v>
      </c>
      <c r="J408">
        <v>728.73599999999999</v>
      </c>
      <c r="K408" s="17"/>
      <c r="L408" s="18">
        <v>0.10100000000000001</v>
      </c>
    </row>
    <row r="409" spans="2:12" ht="15.75" thickBot="1" x14ac:dyDescent="0.3">
      <c r="B409" s="5"/>
      <c r="D409" s="19"/>
      <c r="F409" s="19"/>
      <c r="H409" s="5"/>
      <c r="J409" s="19">
        <v>4454.2370000000001</v>
      </c>
      <c r="L409" s="19">
        <v>0.19</v>
      </c>
    </row>
    <row r="410" spans="2:12" x14ac:dyDescent="0.25">
      <c r="B410" s="5"/>
      <c r="C410" s="8" t="s">
        <v>7</v>
      </c>
      <c r="D410" s="12"/>
      <c r="E410" s="9"/>
      <c r="F410" s="10"/>
      <c r="H410" s="5"/>
      <c r="I410" s="8" t="s">
        <v>7</v>
      </c>
      <c r="J410" s="12"/>
      <c r="K410" s="9"/>
      <c r="L410" s="10"/>
    </row>
    <row r="411" spans="2:12" x14ac:dyDescent="0.25">
      <c r="B411" s="5"/>
      <c r="C411" s="11" t="s">
        <v>1</v>
      </c>
      <c r="D411" s="12"/>
      <c r="E411" s="12"/>
      <c r="F411" s="13"/>
      <c r="H411" s="5"/>
      <c r="I411" s="11" t="s">
        <v>1</v>
      </c>
      <c r="J411" s="12"/>
      <c r="K411" s="12"/>
      <c r="L411" s="13"/>
    </row>
    <row r="412" spans="2:12" x14ac:dyDescent="0.25">
      <c r="B412" s="5"/>
      <c r="C412" s="14"/>
      <c r="D412" t="s">
        <v>2</v>
      </c>
      <c r="F412" s="7" t="s">
        <v>3</v>
      </c>
      <c r="H412" s="5"/>
      <c r="I412" s="14"/>
      <c r="J412" t="s">
        <v>2</v>
      </c>
      <c r="L412" s="7" t="s">
        <v>3</v>
      </c>
    </row>
    <row r="413" spans="2:12" x14ac:dyDescent="0.25">
      <c r="B413" s="5"/>
      <c r="C413" s="14" t="s">
        <v>4</v>
      </c>
      <c r="F413" s="20"/>
      <c r="H413" s="5"/>
      <c r="I413" s="14" t="s">
        <v>4</v>
      </c>
      <c r="J413">
        <v>547.10199999999998</v>
      </c>
      <c r="L413" s="20">
        <v>1270.444</v>
      </c>
    </row>
    <row r="414" spans="2:12" x14ac:dyDescent="0.25">
      <c r="B414" s="5"/>
      <c r="C414" s="14" t="s">
        <v>5</v>
      </c>
      <c r="F414" s="21"/>
      <c r="H414" s="5"/>
      <c r="I414" s="14" t="s">
        <v>5</v>
      </c>
      <c r="J414">
        <v>278.17700000000002</v>
      </c>
      <c r="L414" s="21">
        <v>469.17</v>
      </c>
    </row>
    <row r="415" spans="2:12" ht="15.75" thickBot="1" x14ac:dyDescent="0.3">
      <c r="B415" s="5"/>
      <c r="C415" s="16" t="s">
        <v>6</v>
      </c>
      <c r="E415" s="17"/>
      <c r="F415" s="21"/>
      <c r="H415" s="5"/>
      <c r="I415" s="16" t="s">
        <v>6</v>
      </c>
      <c r="J415">
        <v>349.75299999999999</v>
      </c>
      <c r="K415" s="17"/>
      <c r="L415" s="21">
        <v>578.03899999999999</v>
      </c>
    </row>
    <row r="416" spans="2:12" ht="15.75" thickBot="1" x14ac:dyDescent="0.3">
      <c r="B416" s="5"/>
      <c r="D416" s="19">
        <v>1168</v>
      </c>
      <c r="F416" s="19">
        <v>2180</v>
      </c>
      <c r="H416" s="5"/>
      <c r="J416" s="19">
        <v>1175.0319999999999</v>
      </c>
      <c r="L416" s="19">
        <v>2317.6529999999998</v>
      </c>
    </row>
    <row r="417" spans="2:12" x14ac:dyDescent="0.25">
      <c r="B417" s="22" t="s">
        <v>8</v>
      </c>
      <c r="C417" s="23"/>
      <c r="D417" s="23"/>
      <c r="E417" s="23"/>
      <c r="F417" s="7"/>
      <c r="H417" s="22" t="s">
        <v>8</v>
      </c>
      <c r="I417" s="23"/>
      <c r="J417" s="23"/>
      <c r="K417" s="23"/>
      <c r="L417" s="7"/>
    </row>
    <row r="418" spans="2:12" ht="15.75" thickBot="1" x14ac:dyDescent="0.3">
      <c r="B418" s="24" t="s">
        <v>9</v>
      </c>
      <c r="C418" s="25"/>
      <c r="D418" s="25"/>
      <c r="E418" s="25"/>
      <c r="F418" s="26"/>
      <c r="H418" s="24" t="s">
        <v>9</v>
      </c>
      <c r="I418" s="25"/>
      <c r="J418" s="25"/>
      <c r="K418" s="25"/>
      <c r="L418" s="26"/>
    </row>
    <row r="419" spans="2:12" x14ac:dyDescent="0.25">
      <c r="B419" s="27" t="s">
        <v>10</v>
      </c>
      <c r="C419" s="27"/>
      <c r="D419" s="27"/>
      <c r="E419" s="27"/>
      <c r="H419" s="27" t="s">
        <v>10</v>
      </c>
      <c r="I419" s="27"/>
      <c r="J419" s="27"/>
      <c r="K419" s="27"/>
    </row>
    <row r="421" spans="2:12" ht="15.75" thickBot="1" x14ac:dyDescent="0.3"/>
    <row r="422" spans="2:12" x14ac:dyDescent="0.25">
      <c r="B422" s="1"/>
      <c r="C422" s="2"/>
      <c r="D422" s="3">
        <v>44944</v>
      </c>
      <c r="E422" s="2"/>
      <c r="F422" s="4"/>
      <c r="H422" s="1"/>
      <c r="I422" s="2"/>
      <c r="J422" s="3">
        <v>44950</v>
      </c>
      <c r="K422" s="2"/>
      <c r="L422" s="4"/>
    </row>
    <row r="423" spans="2:12" x14ac:dyDescent="0.25">
      <c r="B423" s="5"/>
      <c r="D423" s="6"/>
      <c r="F423" s="7"/>
      <c r="H423" s="5"/>
      <c r="J423" s="6"/>
      <c r="L423" s="7"/>
    </row>
    <row r="424" spans="2:12" x14ac:dyDescent="0.25">
      <c r="B424" s="5"/>
      <c r="C424" s="8" t="s">
        <v>0</v>
      </c>
      <c r="D424" s="9"/>
      <c r="E424" s="9"/>
      <c r="F424" s="10"/>
      <c r="H424" s="5"/>
      <c r="I424" s="8" t="s">
        <v>0</v>
      </c>
      <c r="J424" s="9"/>
      <c r="K424" s="9"/>
      <c r="L424" s="10"/>
    </row>
    <row r="425" spans="2:12" x14ac:dyDescent="0.25">
      <c r="B425" s="5"/>
      <c r="C425" s="11" t="s">
        <v>1</v>
      </c>
      <c r="D425" s="12"/>
      <c r="E425" s="12"/>
      <c r="F425" s="13"/>
      <c r="H425" s="5"/>
      <c r="I425" s="11" t="s">
        <v>1</v>
      </c>
      <c r="J425" s="12"/>
      <c r="K425" s="12"/>
      <c r="L425" s="13"/>
    </row>
    <row r="426" spans="2:12" x14ac:dyDescent="0.25">
      <c r="B426" s="5"/>
      <c r="C426" s="14"/>
      <c r="D426" t="s">
        <v>2</v>
      </c>
      <c r="F426" s="7" t="s">
        <v>3</v>
      </c>
      <c r="H426" s="5"/>
      <c r="I426" s="14"/>
      <c r="J426" t="s">
        <v>2</v>
      </c>
      <c r="L426" s="7" t="s">
        <v>3</v>
      </c>
    </row>
    <row r="427" spans="2:12" x14ac:dyDescent="0.25">
      <c r="B427" s="5"/>
      <c r="C427" s="14" t="s">
        <v>4</v>
      </c>
      <c r="D427">
        <v>3051.5419999999999</v>
      </c>
      <c r="F427" s="15">
        <v>2.7E-2</v>
      </c>
      <c r="H427" s="5"/>
      <c r="I427" s="14" t="s">
        <v>4</v>
      </c>
      <c r="J427">
        <v>3059.0509999999999</v>
      </c>
      <c r="L427" s="15">
        <v>2.8000000000000001E-2</v>
      </c>
    </row>
    <row r="428" spans="2:12" x14ac:dyDescent="0.25">
      <c r="B428" s="5"/>
      <c r="C428" s="14" t="s">
        <v>5</v>
      </c>
      <c r="D428">
        <v>687.20699999999999</v>
      </c>
      <c r="F428" s="15">
        <v>6.8000000000000005E-2</v>
      </c>
      <c r="H428" s="5"/>
      <c r="I428" s="14" t="s">
        <v>5</v>
      </c>
      <c r="J428">
        <v>690.55100000000004</v>
      </c>
      <c r="L428" s="15">
        <v>6.8000000000000005E-2</v>
      </c>
    </row>
    <row r="429" spans="2:12" ht="15.75" thickBot="1" x14ac:dyDescent="0.3">
      <c r="B429" s="5"/>
      <c r="C429" s="16" t="s">
        <v>6</v>
      </c>
      <c r="D429">
        <v>730.2</v>
      </c>
      <c r="E429" s="17"/>
      <c r="F429" s="18">
        <v>0.10100000000000001</v>
      </c>
      <c r="H429" s="5"/>
      <c r="I429" s="16" t="s">
        <v>6</v>
      </c>
      <c r="J429">
        <v>732.66399999999999</v>
      </c>
      <c r="K429" s="17"/>
      <c r="L429" s="18">
        <v>0.10100000000000001</v>
      </c>
    </row>
    <row r="430" spans="2:12" ht="15.75" thickBot="1" x14ac:dyDescent="0.3">
      <c r="B430" s="5"/>
      <c r="D430" s="19">
        <v>4468.9489999999996</v>
      </c>
      <c r="F430" s="19">
        <v>0.19500000000000001</v>
      </c>
      <c r="H430" s="5"/>
      <c r="J430" s="19">
        <v>4482.2659999999996</v>
      </c>
      <c r="L430" s="19">
        <v>0.19700000000000001</v>
      </c>
    </row>
    <row r="431" spans="2:12" x14ac:dyDescent="0.25">
      <c r="B431" s="5"/>
      <c r="C431" s="8" t="s">
        <v>7</v>
      </c>
      <c r="D431" s="12"/>
      <c r="E431" s="9"/>
      <c r="F431" s="10"/>
      <c r="H431" s="5"/>
      <c r="I431" s="8" t="s">
        <v>7</v>
      </c>
      <c r="J431" s="12"/>
      <c r="K431" s="9"/>
      <c r="L431" s="10"/>
    </row>
    <row r="432" spans="2:12" x14ac:dyDescent="0.25">
      <c r="B432" s="5"/>
      <c r="C432" s="11" t="s">
        <v>1</v>
      </c>
      <c r="D432" s="12"/>
      <c r="E432" s="12"/>
      <c r="F432" s="13"/>
      <c r="H432" s="5"/>
      <c r="I432" s="11" t="s">
        <v>1</v>
      </c>
      <c r="J432" s="12"/>
      <c r="K432" s="12"/>
      <c r="L432" s="13"/>
    </row>
    <row r="433" spans="2:12" x14ac:dyDescent="0.25">
      <c r="B433" s="5"/>
      <c r="C433" s="14"/>
      <c r="D433" t="s">
        <v>2</v>
      </c>
      <c r="F433" s="7" t="s">
        <v>3</v>
      </c>
      <c r="H433" s="5"/>
      <c r="I433" s="14"/>
      <c r="J433" t="s">
        <v>2</v>
      </c>
      <c r="L433" s="7" t="s">
        <v>3</v>
      </c>
    </row>
    <row r="434" spans="2:12" x14ac:dyDescent="0.25">
      <c r="B434" s="5"/>
      <c r="C434" s="14" t="s">
        <v>4</v>
      </c>
      <c r="D434">
        <v>547.54100000000005</v>
      </c>
      <c r="F434" s="20">
        <v>1362.4459999999999</v>
      </c>
      <c r="H434" s="5"/>
      <c r="I434" s="14" t="s">
        <v>4</v>
      </c>
      <c r="J434">
        <v>548.09299999999996</v>
      </c>
      <c r="L434" s="20">
        <v>1431.934</v>
      </c>
    </row>
    <row r="435" spans="2:12" x14ac:dyDescent="0.25">
      <c r="B435" s="5"/>
      <c r="C435" s="14" t="s">
        <v>5</v>
      </c>
      <c r="D435">
        <v>281.93400000000003</v>
      </c>
      <c r="F435" s="21">
        <v>487.62400000000002</v>
      </c>
      <c r="H435" s="5"/>
      <c r="I435" s="14" t="s">
        <v>5</v>
      </c>
      <c r="J435">
        <v>284.65499999999997</v>
      </c>
      <c r="L435" s="21">
        <v>496.85</v>
      </c>
    </row>
    <row r="436" spans="2:12" ht="15.75" thickBot="1" x14ac:dyDescent="0.3">
      <c r="B436" s="5"/>
      <c r="C436" s="16" t="s">
        <v>6</v>
      </c>
      <c r="D436">
        <v>350.73599999999999</v>
      </c>
      <c r="E436" s="17"/>
      <c r="F436" s="21">
        <v>596.41300000000001</v>
      </c>
      <c r="H436" s="5"/>
      <c r="I436" s="16" t="s">
        <v>6</v>
      </c>
      <c r="J436">
        <v>352.65899999999999</v>
      </c>
      <c r="K436" s="17"/>
      <c r="L436" s="21">
        <v>607.03599999999994</v>
      </c>
    </row>
    <row r="437" spans="2:12" ht="15.75" thickBot="1" x14ac:dyDescent="0.3">
      <c r="B437" s="5"/>
      <c r="D437" s="19">
        <v>1180.211</v>
      </c>
      <c r="F437" s="19">
        <v>2446.4830000000002</v>
      </c>
      <c r="H437" s="5"/>
      <c r="J437" s="19">
        <v>1185.4069999999999</v>
      </c>
      <c r="L437" s="19">
        <v>2535.8200000000002</v>
      </c>
    </row>
    <row r="438" spans="2:12" x14ac:dyDescent="0.25">
      <c r="B438" s="22" t="s">
        <v>8</v>
      </c>
      <c r="C438" s="23"/>
      <c r="D438" s="23"/>
      <c r="E438" s="23">
        <f>D430-J409</f>
        <v>14.711999999999534</v>
      </c>
      <c r="F438" s="7"/>
      <c r="H438" s="22" t="s">
        <v>8</v>
      </c>
      <c r="I438" s="23"/>
      <c r="J438" s="23"/>
      <c r="K438" s="23">
        <f>J430-D430</f>
        <v>13.317000000000007</v>
      </c>
      <c r="L438" s="7"/>
    </row>
    <row r="439" spans="2:12" ht="15.75" thickBot="1" x14ac:dyDescent="0.3">
      <c r="B439" s="24" t="s">
        <v>9</v>
      </c>
      <c r="C439" s="25"/>
      <c r="D439" s="25"/>
      <c r="E439" s="25">
        <f>L437-F437</f>
        <v>89.336999999999989</v>
      </c>
      <c r="F439" s="26"/>
      <c r="H439" s="24" t="s">
        <v>9</v>
      </c>
      <c r="I439" s="25"/>
      <c r="J439" s="25"/>
      <c r="K439" s="25">
        <f>L437-F437</f>
        <v>89.336999999999989</v>
      </c>
      <c r="L439" s="26"/>
    </row>
    <row r="440" spans="2:12" x14ac:dyDescent="0.25">
      <c r="B440" s="27" t="s">
        <v>10</v>
      </c>
      <c r="C440" s="27"/>
      <c r="D440" s="27"/>
      <c r="E440" s="27">
        <f>J437-D437</f>
        <v>5.1959999999999127</v>
      </c>
      <c r="H440" s="27" t="s">
        <v>10</v>
      </c>
      <c r="I440" s="27"/>
      <c r="J440" s="27"/>
      <c r="K440" s="27">
        <f>J437-D437</f>
        <v>5.1959999999999127</v>
      </c>
    </row>
    <row r="442" spans="2:12" ht="15.75" thickBot="1" x14ac:dyDescent="0.3"/>
    <row r="443" spans="2:12" x14ac:dyDescent="0.25">
      <c r="B443" s="1"/>
      <c r="C443" s="2"/>
      <c r="D443" s="3">
        <v>44956</v>
      </c>
      <c r="E443" s="2"/>
      <c r="F443" s="4"/>
      <c r="H443" s="1"/>
      <c r="I443" s="2"/>
      <c r="J443" s="3">
        <v>44964</v>
      </c>
      <c r="K443" s="2"/>
      <c r="L443" s="4"/>
    </row>
    <row r="444" spans="2:12" x14ac:dyDescent="0.25">
      <c r="B444" s="5"/>
      <c r="D444" s="6"/>
      <c r="F444" s="7"/>
      <c r="H444" s="5"/>
      <c r="J444" s="6"/>
      <c r="L444" s="7"/>
    </row>
    <row r="445" spans="2:12" x14ac:dyDescent="0.25">
      <c r="B445" s="5"/>
      <c r="C445" s="8" t="s">
        <v>0</v>
      </c>
      <c r="D445" s="9"/>
      <c r="E445" s="9"/>
      <c r="F445" s="10"/>
      <c r="H445" s="5"/>
      <c r="I445" s="8" t="s">
        <v>0</v>
      </c>
      <c r="J445" s="9"/>
      <c r="K445" s="9"/>
      <c r="L445" s="10"/>
    </row>
    <row r="446" spans="2:12" x14ac:dyDescent="0.25">
      <c r="B446" s="5"/>
      <c r="C446" s="11" t="s">
        <v>1</v>
      </c>
      <c r="D446" s="12"/>
      <c r="E446" s="12"/>
      <c r="F446" s="13"/>
      <c r="H446" s="5"/>
      <c r="I446" s="11" t="s">
        <v>1</v>
      </c>
      <c r="J446" s="12"/>
      <c r="K446" s="12"/>
      <c r="L446" s="13"/>
    </row>
    <row r="447" spans="2:12" x14ac:dyDescent="0.25">
      <c r="B447" s="5"/>
      <c r="C447" s="14"/>
      <c r="D447" t="s">
        <v>2</v>
      </c>
      <c r="F447" s="7" t="s">
        <v>3</v>
      </c>
      <c r="H447" s="5"/>
      <c r="I447" s="14"/>
      <c r="J447" t="s">
        <v>2</v>
      </c>
      <c r="L447" s="7" t="s">
        <v>3</v>
      </c>
    </row>
    <row r="448" spans="2:12" x14ac:dyDescent="0.25">
      <c r="B448" s="5"/>
      <c r="C448" s="14" t="s">
        <v>4</v>
      </c>
      <c r="D448">
        <v>3087.5639999999999</v>
      </c>
      <c r="F448" s="15">
        <v>2.9000000000000001E-2</v>
      </c>
      <c r="H448" s="5"/>
      <c r="I448" s="14" t="s">
        <v>4</v>
      </c>
      <c r="J448">
        <v>3102.4209999999998</v>
      </c>
      <c r="L448" s="15">
        <v>0.03</v>
      </c>
    </row>
    <row r="449" spans="2:12" x14ac:dyDescent="0.25">
      <c r="B449" s="5"/>
      <c r="C449" s="14" t="s">
        <v>5</v>
      </c>
      <c r="D449">
        <v>697.24800000000005</v>
      </c>
      <c r="F449" s="15">
        <v>6.8000000000000005E-2</v>
      </c>
      <c r="H449" s="5"/>
      <c r="I449" s="14" t="s">
        <v>5</v>
      </c>
      <c r="J449">
        <v>701.12699999999995</v>
      </c>
      <c r="L449" s="15">
        <v>6.8000000000000005E-2</v>
      </c>
    </row>
    <row r="450" spans="2:12" ht="15.75" thickBot="1" x14ac:dyDescent="0.3">
      <c r="B450" s="5"/>
      <c r="C450" s="16" t="s">
        <v>6</v>
      </c>
      <c r="D450">
        <v>740.78399999999999</v>
      </c>
      <c r="E450" s="17"/>
      <c r="F450" s="18">
        <v>0.10100000000000001</v>
      </c>
      <c r="H450" s="5"/>
      <c r="I450" s="16" t="s">
        <v>6</v>
      </c>
      <c r="J450">
        <v>743.58399999999995</v>
      </c>
      <c r="K450" s="17"/>
      <c r="L450" s="18">
        <v>0.10199999999999999</v>
      </c>
    </row>
    <row r="451" spans="2:12" ht="15.75" thickBot="1" x14ac:dyDescent="0.3">
      <c r="B451" s="5"/>
      <c r="D451" s="19">
        <v>4525.5959999999995</v>
      </c>
      <c r="F451" s="19">
        <v>0.19800000000000001</v>
      </c>
      <c r="H451" s="5"/>
      <c r="J451" s="19">
        <v>4547.1319999999996</v>
      </c>
      <c r="L451" s="19">
        <v>0.2</v>
      </c>
    </row>
    <row r="452" spans="2:12" x14ac:dyDescent="0.25">
      <c r="B452" s="5"/>
      <c r="C452" s="8" t="s">
        <v>7</v>
      </c>
      <c r="D452" s="12"/>
      <c r="E452" s="9"/>
      <c r="F452" s="10"/>
      <c r="H452" s="5"/>
      <c r="I452" s="8" t="s">
        <v>7</v>
      </c>
      <c r="J452" s="12"/>
      <c r="K452" s="9"/>
      <c r="L452" s="10"/>
    </row>
    <row r="453" spans="2:12" x14ac:dyDescent="0.25">
      <c r="B453" s="5"/>
      <c r="C453" s="11" t="s">
        <v>1</v>
      </c>
      <c r="D453" s="12"/>
      <c r="E453" s="12"/>
      <c r="F453" s="13"/>
      <c r="H453" s="5"/>
      <c r="I453" s="11" t="s">
        <v>1</v>
      </c>
      <c r="J453" s="12"/>
      <c r="K453" s="12"/>
      <c r="L453" s="13"/>
    </row>
    <row r="454" spans="2:12" x14ac:dyDescent="0.25">
      <c r="B454" s="5"/>
      <c r="C454" s="14"/>
      <c r="D454" t="s">
        <v>2</v>
      </c>
      <c r="F454" s="7" t="s">
        <v>3</v>
      </c>
      <c r="H454" s="5"/>
      <c r="I454" s="14"/>
      <c r="J454" t="s">
        <v>2</v>
      </c>
      <c r="L454" s="7" t="s">
        <v>3</v>
      </c>
    </row>
    <row r="455" spans="2:12" x14ac:dyDescent="0.25">
      <c r="B455" s="5"/>
      <c r="C455" s="14" t="s">
        <v>4</v>
      </c>
      <c r="D455">
        <v>552.63699999999994</v>
      </c>
      <c r="F455" s="20">
        <v>1532.654</v>
      </c>
      <c r="H455" s="5"/>
      <c r="I455" s="14" t="s">
        <v>4</v>
      </c>
      <c r="J455">
        <v>556.45600000000002</v>
      </c>
      <c r="L455" s="20">
        <v>1594.2560000000001</v>
      </c>
    </row>
    <row r="456" spans="2:12" x14ac:dyDescent="0.25">
      <c r="B456" s="5"/>
      <c r="C456" s="14" t="s">
        <v>5</v>
      </c>
      <c r="D456">
        <v>287.44299999999998</v>
      </c>
      <c r="F456" s="21">
        <v>522.03300000000002</v>
      </c>
      <c r="H456" s="5"/>
      <c r="I456" s="14" t="s">
        <v>5</v>
      </c>
      <c r="J456">
        <v>292.32499999999999</v>
      </c>
      <c r="L456" s="21">
        <v>531.45600000000002</v>
      </c>
    </row>
    <row r="457" spans="2:12" ht="15.75" thickBot="1" x14ac:dyDescent="0.3">
      <c r="B457" s="5"/>
      <c r="C457" s="16" t="s">
        <v>6</v>
      </c>
      <c r="D457">
        <v>357.05900000000003</v>
      </c>
      <c r="E457" s="17"/>
      <c r="F457" s="21">
        <v>629.74199999999996</v>
      </c>
      <c r="H457" s="5"/>
      <c r="I457" s="16" t="s">
        <v>6</v>
      </c>
      <c r="J457">
        <v>362.851</v>
      </c>
      <c r="K457" s="17"/>
      <c r="L457" s="21">
        <v>641.54700000000003</v>
      </c>
    </row>
    <row r="458" spans="2:12" ht="15.75" thickBot="1" x14ac:dyDescent="0.3">
      <c r="B458" s="5"/>
      <c r="D458" s="19">
        <v>1197.1389999999999</v>
      </c>
      <c r="F458" s="19">
        <v>2684.4290000000001</v>
      </c>
      <c r="H458" s="5"/>
      <c r="J458" s="19">
        <v>1211.6320000000001</v>
      </c>
      <c r="L458" s="19">
        <v>2767.259</v>
      </c>
    </row>
    <row r="459" spans="2:12" x14ac:dyDescent="0.25">
      <c r="B459" s="22" t="s">
        <v>8</v>
      </c>
      <c r="C459" s="23"/>
      <c r="D459" s="23"/>
      <c r="E459" s="23">
        <f>D451-J430</f>
        <v>43.329999999999927</v>
      </c>
      <c r="F459" s="7"/>
      <c r="H459" s="22" t="s">
        <v>8</v>
      </c>
      <c r="I459" s="23"/>
      <c r="J459" s="23"/>
      <c r="K459" s="23">
        <f>D472-J451</f>
        <v>46.267000000000735</v>
      </c>
      <c r="L459" s="7"/>
    </row>
    <row r="460" spans="2:12" ht="15.75" thickBot="1" x14ac:dyDescent="0.3">
      <c r="B460" s="24" t="s">
        <v>9</v>
      </c>
      <c r="C460" s="25"/>
      <c r="D460" s="25"/>
      <c r="E460" s="25">
        <f>F458-L437</f>
        <v>148.60899999999992</v>
      </c>
      <c r="F460" s="26"/>
      <c r="H460" s="24" t="s">
        <v>9</v>
      </c>
      <c r="I460" s="25"/>
      <c r="J460" s="25"/>
      <c r="K460" s="25">
        <f>F479-L458</f>
        <v>60.710000000000036</v>
      </c>
      <c r="L460" s="26"/>
    </row>
    <row r="461" spans="2:12" x14ac:dyDescent="0.25">
      <c r="B461" s="27" t="s">
        <v>10</v>
      </c>
      <c r="C461" s="27"/>
      <c r="D461" s="27"/>
      <c r="E461" s="27">
        <f>D458-J437</f>
        <v>11.731999999999971</v>
      </c>
      <c r="H461" s="27" t="s">
        <v>10</v>
      </c>
      <c r="I461" s="27"/>
      <c r="J461" s="27"/>
      <c r="K461" s="27">
        <f>D479-J458</f>
        <v>10.211000000000013</v>
      </c>
    </row>
    <row r="463" spans="2:12" ht="15.75" thickBot="1" x14ac:dyDescent="0.3"/>
    <row r="464" spans="2:12" x14ac:dyDescent="0.25">
      <c r="B464" s="1"/>
      <c r="C464" s="2"/>
      <c r="D464" s="3">
        <v>44971</v>
      </c>
      <c r="E464" s="2"/>
      <c r="F464" s="4"/>
      <c r="H464" s="1"/>
      <c r="I464" s="2"/>
      <c r="J464" s="3">
        <v>44978</v>
      </c>
      <c r="K464" s="2"/>
      <c r="L464" s="4"/>
    </row>
    <row r="465" spans="2:12" x14ac:dyDescent="0.25">
      <c r="B465" s="5"/>
      <c r="D465" s="6"/>
      <c r="F465" s="7"/>
      <c r="H465" s="5"/>
      <c r="J465" s="6"/>
      <c r="L465" s="7"/>
    </row>
    <row r="466" spans="2:12" x14ac:dyDescent="0.25">
      <c r="B466" s="5"/>
      <c r="C466" s="8" t="s">
        <v>0</v>
      </c>
      <c r="D466" s="9"/>
      <c r="E466" s="9"/>
      <c r="F466" s="10"/>
      <c r="H466" s="5"/>
      <c r="I466" s="8" t="s">
        <v>0</v>
      </c>
      <c r="J466" s="9"/>
      <c r="K466" s="9"/>
      <c r="L466" s="10"/>
    </row>
    <row r="467" spans="2:12" x14ac:dyDescent="0.25">
      <c r="B467" s="5"/>
      <c r="C467" s="11" t="s">
        <v>1</v>
      </c>
      <c r="D467" s="12"/>
      <c r="E467" s="12"/>
      <c r="F467" s="13"/>
      <c r="H467" s="5"/>
      <c r="I467" s="11" t="s">
        <v>1</v>
      </c>
      <c r="J467" s="12"/>
      <c r="K467" s="12"/>
      <c r="L467" s="13"/>
    </row>
    <row r="468" spans="2:12" x14ac:dyDescent="0.25">
      <c r="B468" s="5"/>
      <c r="C468" s="14"/>
      <c r="D468" t="s">
        <v>2</v>
      </c>
      <c r="F468" s="7" t="s">
        <v>3</v>
      </c>
      <c r="H468" s="5"/>
      <c r="I468" s="14"/>
      <c r="J468" t="s">
        <v>2</v>
      </c>
      <c r="L468" s="7" t="s">
        <v>3</v>
      </c>
    </row>
    <row r="469" spans="2:12" x14ac:dyDescent="0.25">
      <c r="B469" s="5"/>
      <c r="C469" s="14" t="s">
        <v>4</v>
      </c>
      <c r="D469">
        <v>3140.672</v>
      </c>
      <c r="F469" s="15">
        <v>0.03</v>
      </c>
      <c r="H469" s="5"/>
      <c r="I469" s="14" t="s">
        <v>4</v>
      </c>
      <c r="J469">
        <v>3172.864</v>
      </c>
      <c r="L469" s="15">
        <v>3.1E-2</v>
      </c>
    </row>
    <row r="470" spans="2:12" x14ac:dyDescent="0.25">
      <c r="B470" s="5"/>
      <c r="C470" s="14" t="s">
        <v>5</v>
      </c>
      <c r="D470">
        <v>705.14300000000003</v>
      </c>
      <c r="F470" s="15">
        <v>6.8000000000000005E-2</v>
      </c>
      <c r="H470" s="5"/>
      <c r="I470" s="14" t="s">
        <v>5</v>
      </c>
      <c r="J470">
        <v>710.25800000000004</v>
      </c>
      <c r="L470" s="15">
        <v>6.8000000000000005E-2</v>
      </c>
    </row>
    <row r="471" spans="2:12" ht="15.75" thickBot="1" x14ac:dyDescent="0.3">
      <c r="B471" s="5"/>
      <c r="C471" s="16" t="s">
        <v>6</v>
      </c>
      <c r="D471">
        <v>747.58399999999995</v>
      </c>
      <c r="E471" s="17"/>
      <c r="F471" s="18">
        <v>0.10299999999999999</v>
      </c>
      <c r="H471" s="5"/>
      <c r="I471" s="16" t="s">
        <v>6</v>
      </c>
      <c r="J471">
        <v>752.65099999999995</v>
      </c>
      <c r="K471" s="17"/>
      <c r="L471" s="18">
        <v>0.105</v>
      </c>
    </row>
    <row r="472" spans="2:12" ht="15.75" thickBot="1" x14ac:dyDescent="0.3">
      <c r="B472" s="5"/>
      <c r="D472" s="19">
        <v>4593.3990000000003</v>
      </c>
      <c r="F472" s="19">
        <v>0.20100000000000001</v>
      </c>
      <c r="H472" s="5"/>
      <c r="J472" s="19">
        <v>4635.7730000000001</v>
      </c>
      <c r="L472" s="19">
        <v>0.20399999999999999</v>
      </c>
    </row>
    <row r="473" spans="2:12" x14ac:dyDescent="0.25">
      <c r="B473" s="5"/>
      <c r="C473" s="8" t="s">
        <v>7</v>
      </c>
      <c r="D473" s="12"/>
      <c r="E473" s="9"/>
      <c r="F473" s="10"/>
      <c r="H473" s="5"/>
      <c r="I473" s="8" t="s">
        <v>7</v>
      </c>
      <c r="J473" s="12"/>
      <c r="K473" s="9"/>
      <c r="L473" s="10"/>
    </row>
    <row r="474" spans="2:12" x14ac:dyDescent="0.25">
      <c r="B474" s="5"/>
      <c r="C474" s="11" t="s">
        <v>1</v>
      </c>
      <c r="D474" s="12"/>
      <c r="E474" s="12"/>
      <c r="F474" s="13"/>
      <c r="H474" s="5"/>
      <c r="I474" s="11" t="s">
        <v>1</v>
      </c>
      <c r="J474" s="12"/>
      <c r="K474" s="12"/>
      <c r="L474" s="13"/>
    </row>
    <row r="475" spans="2:12" x14ac:dyDescent="0.25">
      <c r="B475" s="5"/>
      <c r="C475" s="14"/>
      <c r="D475" t="s">
        <v>2</v>
      </c>
      <c r="F475" s="7" t="s">
        <v>3</v>
      </c>
      <c r="H475" s="5"/>
      <c r="I475" s="14"/>
      <c r="J475" t="s">
        <v>2</v>
      </c>
      <c r="L475" s="7" t="s">
        <v>3</v>
      </c>
    </row>
    <row r="476" spans="2:12" x14ac:dyDescent="0.25">
      <c r="B476" s="5"/>
      <c r="C476" s="14" t="s">
        <v>4</v>
      </c>
      <c r="D476">
        <v>560.21400000000006</v>
      </c>
      <c r="F476" s="20">
        <v>1635.248</v>
      </c>
      <c r="H476" s="5"/>
      <c r="I476" s="14" t="s">
        <v>4</v>
      </c>
      <c r="J476">
        <v>564.26400000000001</v>
      </c>
      <c r="L476" s="20">
        <v>1685.2539999999999</v>
      </c>
    </row>
    <row r="477" spans="2:12" x14ac:dyDescent="0.25">
      <c r="B477" s="5"/>
      <c r="C477" s="14" t="s">
        <v>5</v>
      </c>
      <c r="D477">
        <v>296.47300000000001</v>
      </c>
      <c r="F477" s="21">
        <v>542.57399999999996</v>
      </c>
      <c r="H477" s="5"/>
      <c r="I477" s="14" t="s">
        <v>5</v>
      </c>
      <c r="J477">
        <v>301.548</v>
      </c>
      <c r="L477" s="21">
        <v>555.62099999999998</v>
      </c>
    </row>
    <row r="478" spans="2:12" ht="15.75" thickBot="1" x14ac:dyDescent="0.3">
      <c r="B478" s="5"/>
      <c r="C478" s="16" t="s">
        <v>6</v>
      </c>
      <c r="D478">
        <v>365.15600000000001</v>
      </c>
      <c r="E478" s="17"/>
      <c r="F478" s="21">
        <v>650.14700000000005</v>
      </c>
      <c r="H478" s="5"/>
      <c r="I478" s="16" t="s">
        <v>6</v>
      </c>
      <c r="J478">
        <v>370.541</v>
      </c>
      <c r="K478" s="17"/>
      <c r="L478" s="21">
        <v>661.35699999999997</v>
      </c>
    </row>
    <row r="479" spans="2:12" ht="15.75" thickBot="1" x14ac:dyDescent="0.3">
      <c r="B479" s="5"/>
      <c r="D479" s="19">
        <v>1221.8430000000001</v>
      </c>
      <c r="F479" s="19">
        <v>2827.9690000000001</v>
      </c>
      <c r="H479" s="5"/>
      <c r="J479" s="19">
        <v>1236.3530000000001</v>
      </c>
      <c r="L479" s="19">
        <v>2902.232</v>
      </c>
    </row>
    <row r="480" spans="2:12" x14ac:dyDescent="0.25">
      <c r="B480" s="22" t="s">
        <v>8</v>
      </c>
      <c r="C480" s="23"/>
      <c r="D480" s="23"/>
      <c r="E480" s="23">
        <f>D472-J451</f>
        <v>46.267000000000735</v>
      </c>
      <c r="F480" s="7"/>
      <c r="H480" s="22" t="s">
        <v>8</v>
      </c>
      <c r="I480" s="23"/>
      <c r="J480" s="23"/>
      <c r="K480" s="23">
        <f>J472-D472</f>
        <v>42.373999999999796</v>
      </c>
      <c r="L480" s="7"/>
    </row>
    <row r="481" spans="2:12" ht="15.75" thickBot="1" x14ac:dyDescent="0.3">
      <c r="B481" s="24" t="s">
        <v>9</v>
      </c>
      <c r="C481" s="25"/>
      <c r="D481" s="25"/>
      <c r="E481" s="25">
        <f>F479-L458</f>
        <v>60.710000000000036</v>
      </c>
      <c r="F481" s="26"/>
      <c r="H481" s="24" t="s">
        <v>9</v>
      </c>
      <c r="I481" s="25"/>
      <c r="J481" s="25"/>
      <c r="K481" s="25">
        <f>L479-F479</f>
        <v>74.26299999999992</v>
      </c>
      <c r="L481" s="26"/>
    </row>
    <row r="482" spans="2:12" x14ac:dyDescent="0.25">
      <c r="B482" s="27" t="s">
        <v>10</v>
      </c>
      <c r="C482" s="27"/>
      <c r="D482" s="27"/>
      <c r="E482" s="27">
        <f>D479-J458</f>
        <v>10.211000000000013</v>
      </c>
      <c r="H482" s="27" t="s">
        <v>10</v>
      </c>
      <c r="I482" s="27"/>
      <c r="J482" s="27"/>
      <c r="K482" s="27">
        <f>J479-D479</f>
        <v>14.509999999999991</v>
      </c>
    </row>
    <row r="484" spans="2:12" ht="15.75" thickBot="1" x14ac:dyDescent="0.3"/>
    <row r="485" spans="2:12" x14ac:dyDescent="0.25">
      <c r="B485" s="1"/>
      <c r="C485" s="2"/>
      <c r="D485" s="3">
        <v>44985</v>
      </c>
      <c r="E485" s="2"/>
      <c r="F485" s="4"/>
      <c r="H485" s="1"/>
      <c r="I485" s="2"/>
      <c r="J485" s="3">
        <v>44995</v>
      </c>
      <c r="K485" s="2"/>
      <c r="L485" s="4"/>
    </row>
    <row r="486" spans="2:12" x14ac:dyDescent="0.25">
      <c r="B486" s="5"/>
      <c r="D486" s="6"/>
      <c r="F486" s="7"/>
      <c r="H486" s="5"/>
      <c r="J486" s="6"/>
      <c r="L486" s="7"/>
    </row>
    <row r="487" spans="2:12" x14ac:dyDescent="0.25">
      <c r="B487" s="5"/>
      <c r="C487" s="8" t="s">
        <v>0</v>
      </c>
      <c r="D487" s="9"/>
      <c r="E487" s="9"/>
      <c r="F487" s="10"/>
      <c r="H487" s="5"/>
      <c r="I487" s="8" t="s">
        <v>0</v>
      </c>
      <c r="J487" s="9"/>
      <c r="K487" s="9"/>
      <c r="L487" s="10"/>
    </row>
    <row r="488" spans="2:12" x14ac:dyDescent="0.25">
      <c r="B488" s="5"/>
      <c r="C488" s="11" t="s">
        <v>1</v>
      </c>
      <c r="D488" s="12"/>
      <c r="E488" s="12"/>
      <c r="F488" s="13"/>
      <c r="H488" s="5"/>
      <c r="I488" s="11" t="s">
        <v>1</v>
      </c>
      <c r="J488" s="12"/>
      <c r="K488" s="12"/>
      <c r="L488" s="13"/>
    </row>
    <row r="489" spans="2:12" x14ac:dyDescent="0.25">
      <c r="B489" s="5"/>
      <c r="C489" s="14"/>
      <c r="D489" t="s">
        <v>2</v>
      </c>
      <c r="F489" s="7" t="s">
        <v>3</v>
      </c>
      <c r="H489" s="5"/>
      <c r="I489" s="14"/>
      <c r="J489" t="s">
        <v>2</v>
      </c>
      <c r="L489" s="7" t="s">
        <v>3</v>
      </c>
    </row>
    <row r="490" spans="2:12" x14ac:dyDescent="0.25">
      <c r="B490" s="5"/>
      <c r="C490" s="14" t="s">
        <v>4</v>
      </c>
      <c r="D490">
        <v>3193.5740000000001</v>
      </c>
      <c r="F490" s="15">
        <v>3.2000000000000001E-2</v>
      </c>
      <c r="H490" s="5"/>
      <c r="I490" s="14" t="s">
        <v>4</v>
      </c>
      <c r="J490">
        <v>3210.1590000000001</v>
      </c>
      <c r="L490" s="15">
        <v>3.3000000000000002E-2</v>
      </c>
    </row>
    <row r="491" spans="2:12" x14ac:dyDescent="0.25">
      <c r="B491" s="5"/>
      <c r="C491" s="14" t="s">
        <v>5</v>
      </c>
      <c r="D491">
        <v>716.65499999999997</v>
      </c>
      <c r="F491" s="15">
        <v>6.9000000000000006E-2</v>
      </c>
      <c r="H491" s="5"/>
      <c r="I491" s="14" t="s">
        <v>5</v>
      </c>
      <c r="J491">
        <v>722.51400000000001</v>
      </c>
      <c r="L491" s="15">
        <v>6.9000000000000006E-2</v>
      </c>
    </row>
    <row r="492" spans="2:12" ht="15.75" thickBot="1" x14ac:dyDescent="0.3">
      <c r="B492" s="5"/>
      <c r="C492" s="16" t="s">
        <v>6</v>
      </c>
      <c r="D492">
        <v>759.12400000000002</v>
      </c>
      <c r="E492" s="17"/>
      <c r="F492" s="18">
        <v>0.106</v>
      </c>
      <c r="H492" s="5"/>
      <c r="I492" s="16" t="s">
        <v>6</v>
      </c>
      <c r="J492">
        <v>765.34799999999996</v>
      </c>
      <c r="K492" s="17"/>
      <c r="L492" s="18">
        <v>0.107</v>
      </c>
    </row>
    <row r="493" spans="2:12" ht="15.75" thickBot="1" x14ac:dyDescent="0.3">
      <c r="B493" s="5"/>
      <c r="D493" s="19">
        <v>4669.3530000000001</v>
      </c>
      <c r="F493" s="19">
        <v>0.20699999999999999</v>
      </c>
      <c r="H493" s="5"/>
      <c r="J493" s="19">
        <v>4698.0209999999997</v>
      </c>
      <c r="L493" s="19">
        <v>0.20899999999999999</v>
      </c>
    </row>
    <row r="494" spans="2:12" x14ac:dyDescent="0.25">
      <c r="B494" s="5"/>
      <c r="C494" s="8" t="s">
        <v>7</v>
      </c>
      <c r="D494" s="12"/>
      <c r="E494" s="9"/>
      <c r="F494" s="10"/>
      <c r="H494" s="5"/>
      <c r="I494" s="8" t="s">
        <v>7</v>
      </c>
      <c r="J494" s="12"/>
      <c r="K494" s="9"/>
      <c r="L494" s="10"/>
    </row>
    <row r="495" spans="2:12" x14ac:dyDescent="0.25">
      <c r="B495" s="5"/>
      <c r="C495" s="11" t="s">
        <v>1</v>
      </c>
      <c r="D495" s="12"/>
      <c r="E495" s="12"/>
      <c r="F495" s="13"/>
      <c r="H495" s="5"/>
      <c r="I495" s="11" t="s">
        <v>1</v>
      </c>
      <c r="J495" s="12"/>
      <c r="K495" s="12"/>
      <c r="L495" s="13"/>
    </row>
    <row r="496" spans="2:12" x14ac:dyDescent="0.25">
      <c r="B496" s="5"/>
      <c r="C496" s="14"/>
      <c r="D496" t="s">
        <v>2</v>
      </c>
      <c r="F496" s="7" t="s">
        <v>3</v>
      </c>
      <c r="H496" s="5"/>
      <c r="I496" s="14"/>
      <c r="J496" t="s">
        <v>2</v>
      </c>
      <c r="L496" s="7" t="s">
        <v>3</v>
      </c>
    </row>
    <row r="497" spans="2:12" x14ac:dyDescent="0.25">
      <c r="B497" s="5"/>
      <c r="C497" s="14" t="s">
        <v>4</v>
      </c>
      <c r="D497">
        <v>568.34699999999998</v>
      </c>
      <c r="F497" s="20">
        <v>1735.6869999999999</v>
      </c>
      <c r="H497" s="5"/>
      <c r="I497" s="14" t="s">
        <v>4</v>
      </c>
      <c r="J497">
        <v>572.12400000000002</v>
      </c>
      <c r="L497" s="20">
        <v>1781.576</v>
      </c>
    </row>
    <row r="498" spans="2:12" x14ac:dyDescent="0.25">
      <c r="B498" s="5"/>
      <c r="C498" s="14" t="s">
        <v>5</v>
      </c>
      <c r="D498">
        <v>307.14499999999998</v>
      </c>
      <c r="F498" s="21">
        <v>567.23400000000004</v>
      </c>
      <c r="H498" s="5"/>
      <c r="I498" s="14" t="s">
        <v>5</v>
      </c>
      <c r="J498">
        <v>312.58100000000002</v>
      </c>
      <c r="L498" s="21">
        <v>583.471</v>
      </c>
    </row>
    <row r="499" spans="2:12" ht="15.75" thickBot="1" x14ac:dyDescent="0.3">
      <c r="B499" s="5"/>
      <c r="C499" s="16" t="s">
        <v>6</v>
      </c>
      <c r="D499">
        <v>374.98399999999998</v>
      </c>
      <c r="E499" s="17"/>
      <c r="F499" s="21">
        <v>675.46600000000001</v>
      </c>
      <c r="H499" s="5"/>
      <c r="I499" s="16" t="s">
        <v>6</v>
      </c>
      <c r="J499">
        <v>380.62700000000001</v>
      </c>
      <c r="K499" s="17"/>
      <c r="L499" s="21">
        <v>691.57399999999996</v>
      </c>
    </row>
    <row r="500" spans="2:12" ht="15.75" thickBot="1" x14ac:dyDescent="0.3">
      <c r="B500" s="5"/>
      <c r="D500" s="19">
        <v>1250.4760000000001</v>
      </c>
      <c r="F500" s="19">
        <v>2978.3870000000002</v>
      </c>
      <c r="H500" s="5"/>
      <c r="J500" s="19">
        <v>1265.3320000000001</v>
      </c>
      <c r="L500" s="19">
        <v>3056.6210000000001</v>
      </c>
    </row>
    <row r="501" spans="2:12" x14ac:dyDescent="0.25">
      <c r="B501" s="22" t="s">
        <v>8</v>
      </c>
      <c r="C501" s="23"/>
      <c r="D501" s="23"/>
      <c r="E501" s="23">
        <f>D493-J472</f>
        <v>33.579999999999927</v>
      </c>
      <c r="F501" s="7"/>
      <c r="H501" s="22" t="s">
        <v>8</v>
      </c>
      <c r="I501" s="23"/>
      <c r="J501" s="23"/>
      <c r="K501" s="23">
        <f>J493-D493</f>
        <v>28.667999999999665</v>
      </c>
      <c r="L501" s="7"/>
    </row>
    <row r="502" spans="2:12" ht="15.75" thickBot="1" x14ac:dyDescent="0.3">
      <c r="B502" s="24" t="s">
        <v>9</v>
      </c>
      <c r="C502" s="25"/>
      <c r="D502" s="25"/>
      <c r="E502" s="25">
        <f>F500-L479</f>
        <v>76.1550000000002</v>
      </c>
      <c r="F502" s="26"/>
      <c r="H502" s="24" t="s">
        <v>9</v>
      </c>
      <c r="I502" s="25"/>
      <c r="J502" s="25"/>
      <c r="K502" s="25">
        <f>L500-F500</f>
        <v>78.233999999999924</v>
      </c>
      <c r="L502" s="26"/>
    </row>
    <row r="503" spans="2:12" x14ac:dyDescent="0.25">
      <c r="B503" s="27" t="s">
        <v>10</v>
      </c>
      <c r="C503" s="27"/>
      <c r="D503" s="27"/>
      <c r="E503" s="27">
        <f>D500-J479</f>
        <v>14.123000000000047</v>
      </c>
      <c r="H503" s="27" t="s">
        <v>10</v>
      </c>
      <c r="I503" s="27"/>
      <c r="J503" s="27"/>
      <c r="K503" s="27">
        <f>J500-D500</f>
        <v>14.855999999999995</v>
      </c>
    </row>
    <row r="505" spans="2:12" ht="15.75" thickBot="1" x14ac:dyDescent="0.3"/>
    <row r="506" spans="2:12" x14ac:dyDescent="0.25">
      <c r="B506" s="1"/>
      <c r="C506" s="2"/>
      <c r="D506" s="3">
        <v>45002</v>
      </c>
      <c r="E506" s="2"/>
      <c r="F506" s="4"/>
      <c r="H506" s="1"/>
      <c r="I506" s="2"/>
      <c r="J506" s="3">
        <v>45009</v>
      </c>
      <c r="K506" s="2"/>
      <c r="L506" s="4"/>
    </row>
    <row r="507" spans="2:12" x14ac:dyDescent="0.25">
      <c r="B507" s="5"/>
      <c r="D507" s="6"/>
      <c r="F507" s="7"/>
      <c r="H507" s="5"/>
      <c r="J507" s="6"/>
      <c r="L507" s="7"/>
    </row>
    <row r="508" spans="2:12" x14ac:dyDescent="0.25">
      <c r="B508" s="5"/>
      <c r="C508" s="8" t="s">
        <v>0</v>
      </c>
      <c r="D508" s="9"/>
      <c r="E508" s="9"/>
      <c r="F508" s="10"/>
      <c r="H508" s="5"/>
      <c r="I508" s="8" t="s">
        <v>0</v>
      </c>
      <c r="J508" s="9"/>
      <c r="K508" s="9"/>
      <c r="L508" s="10"/>
    </row>
    <row r="509" spans="2:12" x14ac:dyDescent="0.25">
      <c r="B509" s="5"/>
      <c r="C509" s="11" t="s">
        <v>1</v>
      </c>
      <c r="D509" s="12"/>
      <c r="E509" s="12"/>
      <c r="F509" s="13"/>
      <c r="H509" s="5"/>
      <c r="I509" s="11" t="s">
        <v>1</v>
      </c>
      <c r="J509" s="12"/>
      <c r="K509" s="12"/>
      <c r="L509" s="13"/>
    </row>
    <row r="510" spans="2:12" x14ac:dyDescent="0.25">
      <c r="B510" s="5"/>
      <c r="C510" s="14"/>
      <c r="D510" t="s">
        <v>2</v>
      </c>
      <c r="F510" s="7" t="s">
        <v>3</v>
      </c>
      <c r="H510" s="5"/>
      <c r="I510" s="14"/>
      <c r="J510" t="s">
        <v>2</v>
      </c>
      <c r="L510" s="7" t="s">
        <v>3</v>
      </c>
    </row>
    <row r="511" spans="2:12" x14ac:dyDescent="0.25">
      <c r="B511" s="5"/>
      <c r="C511" s="14" t="s">
        <v>4</v>
      </c>
      <c r="F511" s="15">
        <v>3.3000000000000002E-2</v>
      </c>
      <c r="H511" s="5"/>
      <c r="I511" s="14" t="s">
        <v>4</v>
      </c>
      <c r="L511" s="15">
        <v>3.3000000000000002E-2</v>
      </c>
    </row>
    <row r="512" spans="2:12" x14ac:dyDescent="0.25">
      <c r="B512" s="5"/>
      <c r="C512" s="14" t="s">
        <v>5</v>
      </c>
      <c r="F512" s="15">
        <v>6.9000000000000006E-2</v>
      </c>
      <c r="H512" s="5"/>
      <c r="I512" s="14" t="s">
        <v>5</v>
      </c>
      <c r="L512" s="15">
        <v>6.9000000000000006E-2</v>
      </c>
    </row>
    <row r="513" spans="2:12" ht="15.75" thickBot="1" x14ac:dyDescent="0.3">
      <c r="B513" s="5"/>
      <c r="C513" s="16" t="s">
        <v>6</v>
      </c>
      <c r="E513" s="17"/>
      <c r="F513" s="18">
        <v>0.108</v>
      </c>
      <c r="H513" s="5"/>
      <c r="I513" s="16" t="s">
        <v>6</v>
      </c>
      <c r="K513" s="17"/>
      <c r="L513" s="18">
        <v>0.109</v>
      </c>
    </row>
    <row r="514" spans="2:12" ht="15.75" thickBot="1" x14ac:dyDescent="0.3">
      <c r="B514" s="5"/>
      <c r="D514" s="19"/>
      <c r="F514" s="19">
        <v>0.21</v>
      </c>
      <c r="H514" s="5"/>
      <c r="J514" s="19"/>
      <c r="L514" s="19">
        <v>0.21099999999999999</v>
      </c>
    </row>
    <row r="515" spans="2:12" x14ac:dyDescent="0.25">
      <c r="B515" s="5"/>
      <c r="C515" s="8" t="s">
        <v>7</v>
      </c>
      <c r="D515" s="12"/>
      <c r="E515" s="9"/>
      <c r="F515" s="10"/>
      <c r="H515" s="5"/>
      <c r="I515" s="8" t="s">
        <v>7</v>
      </c>
      <c r="J515" s="12"/>
      <c r="K515" s="9"/>
      <c r="L515" s="10"/>
    </row>
    <row r="516" spans="2:12" x14ac:dyDescent="0.25">
      <c r="B516" s="5"/>
      <c r="C516" s="11" t="s">
        <v>1</v>
      </c>
      <c r="D516" s="12"/>
      <c r="E516" s="12"/>
      <c r="F516" s="13"/>
      <c r="H516" s="5"/>
      <c r="I516" s="11" t="s">
        <v>1</v>
      </c>
      <c r="J516" s="12"/>
      <c r="K516" s="12"/>
      <c r="L516" s="13"/>
    </row>
    <row r="517" spans="2:12" x14ac:dyDescent="0.25">
      <c r="B517" s="5"/>
      <c r="C517" s="14"/>
      <c r="D517" t="s">
        <v>2</v>
      </c>
      <c r="F517" s="7" t="s">
        <v>3</v>
      </c>
      <c r="H517" s="5"/>
      <c r="I517" s="14"/>
      <c r="J517" t="s">
        <v>2</v>
      </c>
      <c r="L517" s="7" t="s">
        <v>3</v>
      </c>
    </row>
    <row r="518" spans="2:12" x14ac:dyDescent="0.25">
      <c r="B518" s="5"/>
      <c r="C518" s="14" t="s">
        <v>4</v>
      </c>
      <c r="D518">
        <v>585.47500000000002</v>
      </c>
      <c r="F518" s="20">
        <v>1793.538</v>
      </c>
      <c r="H518" s="5"/>
      <c r="I518" s="14" t="s">
        <v>4</v>
      </c>
      <c r="J518">
        <v>598.25800000000004</v>
      </c>
      <c r="L518" s="20">
        <v>1805.354</v>
      </c>
    </row>
    <row r="519" spans="2:12" x14ac:dyDescent="0.25">
      <c r="B519" s="5"/>
      <c r="C519" s="14" t="s">
        <v>5</v>
      </c>
      <c r="D519">
        <v>319.58699999999999</v>
      </c>
      <c r="F519" s="21">
        <v>591.25699999999995</v>
      </c>
      <c r="H519" s="5"/>
      <c r="I519" s="14" t="s">
        <v>5</v>
      </c>
      <c r="J519">
        <v>326.57400000000001</v>
      </c>
      <c r="L519" s="21">
        <v>600.12400000000002</v>
      </c>
    </row>
    <row r="520" spans="2:12" ht="15.75" thickBot="1" x14ac:dyDescent="0.3">
      <c r="B520" s="5"/>
      <c r="C520" s="16" t="s">
        <v>6</v>
      </c>
      <c r="D520">
        <v>386.471</v>
      </c>
      <c r="E520" s="17"/>
      <c r="F520" s="21">
        <v>705.53300000000002</v>
      </c>
      <c r="H520" s="5"/>
      <c r="I520" s="16" t="s">
        <v>6</v>
      </c>
      <c r="J520">
        <v>393.245</v>
      </c>
      <c r="K520" s="17"/>
      <c r="L520" s="21">
        <v>718.15800000000002</v>
      </c>
    </row>
    <row r="521" spans="2:12" ht="15.75" thickBot="1" x14ac:dyDescent="0.3">
      <c r="B521" s="5"/>
      <c r="D521" s="19">
        <v>1291.5329999999999</v>
      </c>
      <c r="F521" s="19">
        <v>3090.328</v>
      </c>
      <c r="H521" s="5"/>
      <c r="J521" s="19">
        <v>1318.077</v>
      </c>
      <c r="L521" s="19">
        <v>3123.636</v>
      </c>
    </row>
    <row r="522" spans="2:12" x14ac:dyDescent="0.25">
      <c r="B522" s="22" t="s">
        <v>8</v>
      </c>
      <c r="C522" s="23"/>
      <c r="D522" s="23"/>
      <c r="E522" s="23"/>
      <c r="F522" s="7"/>
      <c r="H522" s="22" t="s">
        <v>8</v>
      </c>
      <c r="I522" s="23"/>
      <c r="J522" s="23"/>
      <c r="K522" s="23"/>
      <c r="L522" s="7"/>
    </row>
    <row r="523" spans="2:12" ht="15.75" thickBot="1" x14ac:dyDescent="0.3">
      <c r="B523" s="24" t="s">
        <v>9</v>
      </c>
      <c r="C523" s="25"/>
      <c r="D523" s="25"/>
      <c r="E523" s="25">
        <f>F521-L500</f>
        <v>33.70699999999988</v>
      </c>
      <c r="F523" s="26"/>
      <c r="H523" s="24" t="s">
        <v>9</v>
      </c>
      <c r="I523" s="25"/>
      <c r="J523" s="25"/>
      <c r="K523" s="25">
        <f>L521-F521</f>
        <v>33.307999999999993</v>
      </c>
      <c r="L523" s="26"/>
    </row>
    <row r="524" spans="2:12" x14ac:dyDescent="0.25">
      <c r="B524" s="27" t="s">
        <v>10</v>
      </c>
      <c r="C524" s="27"/>
      <c r="D524" s="27"/>
      <c r="E524" s="27">
        <f>D521-J500</f>
        <v>26.200999999999794</v>
      </c>
      <c r="H524" s="27" t="s">
        <v>10</v>
      </c>
      <c r="I524" s="27"/>
      <c r="J524" s="27"/>
      <c r="K524" s="27">
        <f>J521-D521</f>
        <v>26.544000000000096</v>
      </c>
    </row>
    <row r="526" spans="2:12" ht="15.75" thickBot="1" x14ac:dyDescent="0.3"/>
    <row r="527" spans="2:12" x14ac:dyDescent="0.25">
      <c r="B527" s="1"/>
      <c r="C527" s="2"/>
      <c r="D527" s="3">
        <v>45016</v>
      </c>
      <c r="E527" s="2"/>
      <c r="F527" s="4"/>
      <c r="H527" s="1"/>
      <c r="I527" s="2"/>
      <c r="J527" s="3">
        <v>45023</v>
      </c>
      <c r="K527" s="2"/>
      <c r="L527" s="4"/>
    </row>
    <row r="528" spans="2:12" x14ac:dyDescent="0.25">
      <c r="B528" s="5"/>
      <c r="D528" s="6"/>
      <c r="F528" s="7"/>
      <c r="H528" s="5"/>
      <c r="J528" s="6"/>
      <c r="L528" s="7"/>
    </row>
    <row r="529" spans="2:12" x14ac:dyDescent="0.25">
      <c r="B529" s="5"/>
      <c r="C529" s="8" t="s">
        <v>0</v>
      </c>
      <c r="D529" s="9"/>
      <c r="E529" s="9"/>
      <c r="F529" s="10"/>
      <c r="H529" s="5"/>
      <c r="I529" s="8" t="s">
        <v>0</v>
      </c>
      <c r="J529" s="9"/>
      <c r="K529" s="9"/>
      <c r="L529" s="10"/>
    </row>
    <row r="530" spans="2:12" x14ac:dyDescent="0.25">
      <c r="B530" s="5"/>
      <c r="C530" s="11" t="s">
        <v>1</v>
      </c>
      <c r="D530" s="12"/>
      <c r="E530" s="12"/>
      <c r="F530" s="13"/>
      <c r="H530" s="5"/>
      <c r="I530" s="11" t="s">
        <v>1</v>
      </c>
      <c r="J530" s="12"/>
      <c r="K530" s="12"/>
      <c r="L530" s="13"/>
    </row>
    <row r="531" spans="2:12" x14ac:dyDescent="0.25">
      <c r="B531" s="5"/>
      <c r="C531" s="14"/>
      <c r="D531" t="s">
        <v>2</v>
      </c>
      <c r="F531" s="7" t="s">
        <v>3</v>
      </c>
      <c r="H531" s="5"/>
      <c r="I531" s="14"/>
      <c r="J531" t="s">
        <v>2</v>
      </c>
      <c r="L531" s="7" t="s">
        <v>3</v>
      </c>
    </row>
    <row r="532" spans="2:12" x14ac:dyDescent="0.25">
      <c r="B532" s="5"/>
      <c r="C532" s="14" t="s">
        <v>4</v>
      </c>
      <c r="F532" s="15">
        <v>3.3000000000000002E-2</v>
      </c>
      <c r="H532" s="5"/>
      <c r="I532" s="14" t="s">
        <v>4</v>
      </c>
      <c r="L532" s="15">
        <v>3.3000000000000002E-2</v>
      </c>
    </row>
    <row r="533" spans="2:12" x14ac:dyDescent="0.25">
      <c r="B533" s="5"/>
      <c r="C533" s="14" t="s">
        <v>5</v>
      </c>
      <c r="F533" s="15">
        <v>6.9000000000000006E-2</v>
      </c>
      <c r="H533" s="5"/>
      <c r="I533" s="14" t="s">
        <v>5</v>
      </c>
      <c r="L533" s="15">
        <v>6.9000000000000006E-2</v>
      </c>
    </row>
    <row r="534" spans="2:12" ht="15.75" thickBot="1" x14ac:dyDescent="0.3">
      <c r="B534" s="5"/>
      <c r="C534" s="16" t="s">
        <v>6</v>
      </c>
      <c r="E534" s="17"/>
      <c r="F534" s="18">
        <v>0.11</v>
      </c>
      <c r="H534" s="5"/>
      <c r="I534" s="16" t="s">
        <v>6</v>
      </c>
      <c r="K534" s="17"/>
      <c r="L534" s="18">
        <v>0.111</v>
      </c>
    </row>
    <row r="535" spans="2:12" ht="15.75" thickBot="1" x14ac:dyDescent="0.3">
      <c r="B535" s="5"/>
      <c r="D535" s="19"/>
      <c r="F535" s="19">
        <v>0.21199999999999999</v>
      </c>
      <c r="H535" s="5"/>
      <c r="J535" s="19"/>
      <c r="L535" s="19">
        <v>0.21299999999999999</v>
      </c>
    </row>
    <row r="536" spans="2:12" x14ac:dyDescent="0.25">
      <c r="B536" s="5"/>
      <c r="C536" s="8" t="s">
        <v>7</v>
      </c>
      <c r="D536" s="12"/>
      <c r="E536" s="9"/>
      <c r="F536" s="10"/>
      <c r="H536" s="5"/>
      <c r="I536" s="8" t="s">
        <v>7</v>
      </c>
      <c r="J536" s="12"/>
      <c r="K536" s="9"/>
      <c r="L536" s="10"/>
    </row>
    <row r="537" spans="2:12" x14ac:dyDescent="0.25">
      <c r="B537" s="5"/>
      <c r="C537" s="11" t="s">
        <v>1</v>
      </c>
      <c r="D537" s="12"/>
      <c r="E537" s="12"/>
      <c r="F537" s="13"/>
      <c r="H537" s="5"/>
      <c r="I537" s="11" t="s">
        <v>1</v>
      </c>
      <c r="J537" s="12"/>
      <c r="K537" s="12"/>
      <c r="L537" s="13"/>
    </row>
    <row r="538" spans="2:12" x14ac:dyDescent="0.25">
      <c r="B538" s="5"/>
      <c r="C538" s="14"/>
      <c r="D538" t="s">
        <v>2</v>
      </c>
      <c r="F538" s="7" t="s">
        <v>3</v>
      </c>
      <c r="H538" s="5"/>
      <c r="I538" s="14"/>
      <c r="J538" t="s">
        <v>2</v>
      </c>
      <c r="L538" s="7" t="s">
        <v>3</v>
      </c>
    </row>
    <row r="539" spans="2:12" x14ac:dyDescent="0.25">
      <c r="B539" s="5"/>
      <c r="C539" s="14" t="s">
        <v>4</v>
      </c>
      <c r="D539">
        <v>612.23900000000003</v>
      </c>
      <c r="F539" s="20">
        <v>1819.127</v>
      </c>
      <c r="H539" s="5"/>
      <c r="I539" s="14" t="s">
        <v>4</v>
      </c>
      <c r="J539">
        <v>621.25400000000002</v>
      </c>
      <c r="L539" s="20">
        <v>1828.568</v>
      </c>
    </row>
    <row r="540" spans="2:12" x14ac:dyDescent="0.25">
      <c r="B540" s="5"/>
      <c r="C540" s="14" t="s">
        <v>5</v>
      </c>
      <c r="D540">
        <v>331.85399999999998</v>
      </c>
      <c r="F540" s="21">
        <v>609.68399999999997</v>
      </c>
      <c r="H540" s="5"/>
      <c r="I540" s="14" t="s">
        <v>5</v>
      </c>
      <c r="J540">
        <v>335.54700000000003</v>
      </c>
      <c r="L540" s="21">
        <v>618.25400000000002</v>
      </c>
    </row>
    <row r="541" spans="2:12" ht="15.75" thickBot="1" x14ac:dyDescent="0.3">
      <c r="B541" s="5"/>
      <c r="C541" s="16" t="s">
        <v>6</v>
      </c>
      <c r="D541">
        <v>397.81200000000001</v>
      </c>
      <c r="E541" s="17"/>
      <c r="F541" s="21">
        <v>725.26400000000001</v>
      </c>
      <c r="H541" s="5"/>
      <c r="I541" s="16" t="s">
        <v>6</v>
      </c>
      <c r="J541">
        <v>400.25599999999997</v>
      </c>
      <c r="K541" s="17"/>
      <c r="L541" s="21">
        <v>732.25699999999995</v>
      </c>
    </row>
    <row r="542" spans="2:12" ht="15.75" thickBot="1" x14ac:dyDescent="0.3">
      <c r="B542" s="5"/>
      <c r="D542" s="19">
        <v>1341.905</v>
      </c>
      <c r="F542" s="19">
        <v>3154.0749999999998</v>
      </c>
      <c r="H542" s="5"/>
      <c r="J542" s="19">
        <v>1357.057</v>
      </c>
      <c r="L542" s="19">
        <v>3179.0790000000002</v>
      </c>
    </row>
    <row r="543" spans="2:12" x14ac:dyDescent="0.25">
      <c r="B543" s="22" t="s">
        <v>8</v>
      </c>
      <c r="C543" s="23"/>
      <c r="D543" s="23"/>
      <c r="E543" s="23"/>
      <c r="F543" s="7"/>
      <c r="H543" s="22" t="s">
        <v>8</v>
      </c>
      <c r="I543" s="23"/>
      <c r="J543" s="23"/>
      <c r="K543" s="23"/>
      <c r="L543" s="7"/>
    </row>
    <row r="544" spans="2:12" ht="15.75" thickBot="1" x14ac:dyDescent="0.3">
      <c r="B544" s="24" t="s">
        <v>9</v>
      </c>
      <c r="C544" s="25"/>
      <c r="D544" s="25"/>
      <c r="E544" s="25">
        <f>F542-L521</f>
        <v>30.438999999999851</v>
      </c>
      <c r="F544" s="26"/>
      <c r="H544" s="24" t="s">
        <v>9</v>
      </c>
      <c r="I544" s="25"/>
      <c r="J544" s="25"/>
      <c r="K544" s="25">
        <f>L542-F542</f>
        <v>25.00400000000036</v>
      </c>
      <c r="L544" s="26"/>
    </row>
    <row r="545" spans="2:12" x14ac:dyDescent="0.25">
      <c r="B545" s="27" t="s">
        <v>10</v>
      </c>
      <c r="C545" s="27"/>
      <c r="D545" s="27"/>
      <c r="E545" s="27">
        <f>D542-J521</f>
        <v>23.827999999999975</v>
      </c>
      <c r="H545" s="27" t="s">
        <v>10</v>
      </c>
      <c r="I545" s="27"/>
      <c r="J545" s="27"/>
      <c r="K545" s="27">
        <f>J542-D542</f>
        <v>15.152000000000044</v>
      </c>
    </row>
    <row r="547" spans="2:12" ht="15.75" thickBot="1" x14ac:dyDescent="0.3"/>
    <row r="548" spans="2:12" x14ac:dyDescent="0.25">
      <c r="B548" s="1"/>
      <c r="C548" s="2"/>
      <c r="D548" s="3">
        <v>45030</v>
      </c>
      <c r="E548" s="2"/>
      <c r="F548" s="4"/>
      <c r="H548" s="1"/>
      <c r="I548" s="2"/>
      <c r="J548" s="3">
        <v>45037</v>
      </c>
      <c r="K548" s="2"/>
      <c r="L548" s="4"/>
    </row>
    <row r="549" spans="2:12" x14ac:dyDescent="0.25">
      <c r="B549" s="5"/>
      <c r="D549" s="6"/>
      <c r="F549" s="7"/>
      <c r="H549" s="5"/>
      <c r="J549" s="6"/>
      <c r="L549" s="7"/>
    </row>
    <row r="550" spans="2:12" x14ac:dyDescent="0.25">
      <c r="B550" s="5"/>
      <c r="C550" s="8" t="s">
        <v>0</v>
      </c>
      <c r="D550" s="9"/>
      <c r="E550" s="9"/>
      <c r="F550" s="10"/>
      <c r="H550" s="5"/>
      <c r="I550" s="8" t="s">
        <v>0</v>
      </c>
      <c r="J550" s="9"/>
      <c r="K550" s="9"/>
      <c r="L550" s="10"/>
    </row>
    <row r="551" spans="2:12" x14ac:dyDescent="0.25">
      <c r="B551" s="5"/>
      <c r="C551" s="11" t="s">
        <v>1</v>
      </c>
      <c r="D551" s="12"/>
      <c r="E551" s="12"/>
      <c r="F551" s="13"/>
      <c r="H551" s="5"/>
      <c r="I551" s="11" t="s">
        <v>1</v>
      </c>
      <c r="J551" s="12"/>
      <c r="K551" s="12"/>
      <c r="L551" s="13"/>
    </row>
    <row r="552" spans="2:12" x14ac:dyDescent="0.25">
      <c r="B552" s="5"/>
      <c r="C552" s="14"/>
      <c r="D552" t="s">
        <v>2</v>
      </c>
      <c r="F552" s="7" t="s">
        <v>3</v>
      </c>
      <c r="H552" s="5"/>
      <c r="I552" s="14"/>
      <c r="J552" t="s">
        <v>2</v>
      </c>
      <c r="L552" s="7" t="s">
        <v>3</v>
      </c>
    </row>
    <row r="553" spans="2:12" x14ac:dyDescent="0.25">
      <c r="B553" s="5"/>
      <c r="C553" s="14" t="s">
        <v>4</v>
      </c>
      <c r="D553">
        <v>3377.9259999999999</v>
      </c>
      <c r="F553" s="15">
        <v>3.3000000000000002E-2</v>
      </c>
      <c r="H553" s="5"/>
      <c r="I553" s="14" t="s">
        <v>4</v>
      </c>
      <c r="J553">
        <v>3410.393</v>
      </c>
      <c r="L553" s="15">
        <v>3.3000000000000002E-2</v>
      </c>
    </row>
    <row r="554" spans="2:12" x14ac:dyDescent="0.25">
      <c r="B554" s="5"/>
      <c r="C554" s="14" t="s">
        <v>5</v>
      </c>
      <c r="D554">
        <v>757.71699999999998</v>
      </c>
      <c r="F554" s="15">
        <v>6.9000000000000006E-2</v>
      </c>
      <c r="H554" s="5"/>
      <c r="I554" s="14" t="s">
        <v>5</v>
      </c>
      <c r="J554">
        <v>759.529</v>
      </c>
      <c r="L554" s="15">
        <v>7.0000000000000007E-2</v>
      </c>
    </row>
    <row r="555" spans="2:12" ht="15.75" thickBot="1" x14ac:dyDescent="0.3">
      <c r="B555" s="5"/>
      <c r="C555" s="16" t="s">
        <v>6</v>
      </c>
      <c r="D555">
        <v>809.50400000000002</v>
      </c>
      <c r="E555" s="17"/>
      <c r="F555" s="18">
        <v>0.112</v>
      </c>
      <c r="H555" s="5"/>
      <c r="I555" s="16" t="s">
        <v>6</v>
      </c>
      <c r="J555">
        <v>816.16099999999994</v>
      </c>
      <c r="K555" s="17"/>
      <c r="L555" s="18">
        <v>0.113</v>
      </c>
    </row>
    <row r="556" spans="2:12" ht="15.75" thickBot="1" x14ac:dyDescent="0.3">
      <c r="B556" s="5"/>
      <c r="D556" s="19">
        <v>4945.1469999999999</v>
      </c>
      <c r="F556" s="19">
        <v>0.214</v>
      </c>
      <c r="H556" s="5"/>
      <c r="J556" s="19">
        <v>4986.0829999999996</v>
      </c>
      <c r="L556" s="19">
        <v>0.216</v>
      </c>
    </row>
    <row r="557" spans="2:12" x14ac:dyDescent="0.25">
      <c r="B557" s="5"/>
      <c r="C557" s="8" t="s">
        <v>7</v>
      </c>
      <c r="D557" s="12"/>
      <c r="E557" s="9"/>
      <c r="F557" s="10"/>
      <c r="H557" s="5"/>
      <c r="I557" s="8" t="s">
        <v>7</v>
      </c>
      <c r="J557" s="12"/>
      <c r="K557" s="9"/>
      <c r="L557" s="10"/>
    </row>
    <row r="558" spans="2:12" x14ac:dyDescent="0.25">
      <c r="B558" s="5"/>
      <c r="C558" s="11" t="s">
        <v>1</v>
      </c>
      <c r="D558" s="12"/>
      <c r="E558" s="12"/>
      <c r="F558" s="13"/>
      <c r="H558" s="5"/>
      <c r="I558" s="11" t="s">
        <v>1</v>
      </c>
      <c r="J558" s="12"/>
      <c r="K558" s="12"/>
      <c r="L558" s="13"/>
    </row>
    <row r="559" spans="2:12" x14ac:dyDescent="0.25">
      <c r="B559" s="5"/>
      <c r="C559" s="14"/>
      <c r="D559" t="s">
        <v>2</v>
      </c>
      <c r="F559" s="7" t="s">
        <v>3</v>
      </c>
      <c r="H559" s="5"/>
      <c r="I559" s="14"/>
      <c r="J559" t="s">
        <v>2</v>
      </c>
      <c r="L559" s="7" t="s">
        <v>3</v>
      </c>
    </row>
    <row r="560" spans="2:12" x14ac:dyDescent="0.25">
      <c r="B560" s="5"/>
      <c r="C560" s="14" t="s">
        <v>4</v>
      </c>
      <c r="D560">
        <v>640.79399999999998</v>
      </c>
      <c r="F560" s="20">
        <v>1849.0509999999999</v>
      </c>
      <c r="H560" s="5"/>
      <c r="I560" s="14" t="s">
        <v>4</v>
      </c>
      <c r="J560">
        <v>652.37</v>
      </c>
      <c r="L560" s="20">
        <v>1859.328</v>
      </c>
    </row>
    <row r="561" spans="2:12" x14ac:dyDescent="0.25">
      <c r="B561" s="5"/>
      <c r="C561" s="14" t="s">
        <v>5</v>
      </c>
      <c r="D561">
        <v>340.11799999999999</v>
      </c>
      <c r="F561" s="21">
        <v>626.00699999999995</v>
      </c>
      <c r="H561" s="5"/>
      <c r="I561" s="14" t="s">
        <v>5</v>
      </c>
      <c r="J561">
        <v>340.86599999999999</v>
      </c>
      <c r="L561" s="21">
        <v>635.76</v>
      </c>
    </row>
    <row r="562" spans="2:12" ht="15.75" thickBot="1" x14ac:dyDescent="0.3">
      <c r="B562" s="5"/>
      <c r="C562" s="16" t="s">
        <v>6</v>
      </c>
      <c r="D562">
        <v>420.40699999999998</v>
      </c>
      <c r="E562" s="17"/>
      <c r="F562" s="21">
        <v>751.71299999999997</v>
      </c>
      <c r="H562" s="5"/>
      <c r="I562" s="16" t="s">
        <v>6</v>
      </c>
      <c r="J562">
        <v>426.21300000000002</v>
      </c>
      <c r="K562" s="17"/>
      <c r="L562" s="21">
        <v>765.56500000000005</v>
      </c>
    </row>
    <row r="563" spans="2:12" ht="15.75" thickBot="1" x14ac:dyDescent="0.3">
      <c r="B563" s="5"/>
      <c r="D563" s="19">
        <v>1401.319</v>
      </c>
      <c r="F563" s="19">
        <v>3226.7710000000002</v>
      </c>
      <c r="H563" s="5"/>
      <c r="J563" s="19">
        <v>1419.4490000000001</v>
      </c>
      <c r="L563" s="19">
        <v>3260.6529999999998</v>
      </c>
    </row>
    <row r="564" spans="2:12" x14ac:dyDescent="0.25">
      <c r="B564" s="22" t="s">
        <v>8</v>
      </c>
      <c r="C564" s="23"/>
      <c r="D564" s="23"/>
      <c r="E564" s="23"/>
      <c r="F564" s="7"/>
      <c r="H564" s="22" t="s">
        <v>8</v>
      </c>
      <c r="I564" s="23"/>
      <c r="J564" s="23"/>
      <c r="K564" s="23">
        <f>J556-D556</f>
        <v>40.935999999999694</v>
      </c>
      <c r="L564" s="7"/>
    </row>
    <row r="565" spans="2:12" ht="15.75" thickBot="1" x14ac:dyDescent="0.3">
      <c r="B565" s="24" t="s">
        <v>9</v>
      </c>
      <c r="C565" s="25"/>
      <c r="D565" s="25"/>
      <c r="E565" s="25">
        <f>F563-L542</f>
        <v>47.692000000000007</v>
      </c>
      <c r="F565" s="26"/>
      <c r="H565" s="24" t="s">
        <v>9</v>
      </c>
      <c r="I565" s="25"/>
      <c r="J565" s="25"/>
      <c r="K565" s="25">
        <f>L563-F563</f>
        <v>33.881999999999607</v>
      </c>
      <c r="L565" s="26"/>
    </row>
    <row r="566" spans="2:12" x14ac:dyDescent="0.25">
      <c r="B566" s="27" t="s">
        <v>10</v>
      </c>
      <c r="C566" s="27"/>
      <c r="D566" s="27"/>
      <c r="E566" s="27">
        <f>D563-J542</f>
        <v>44.261999999999944</v>
      </c>
      <c r="H566" s="27" t="s">
        <v>10</v>
      </c>
      <c r="I566" s="27"/>
      <c r="J566" s="27"/>
      <c r="K566" s="27">
        <f>J563-D563</f>
        <v>18.130000000000109</v>
      </c>
    </row>
    <row r="568" spans="2:12" ht="15.75" thickBot="1" x14ac:dyDescent="0.3"/>
    <row r="569" spans="2:12" x14ac:dyDescent="0.25">
      <c r="B569" s="1"/>
      <c r="C569" s="2"/>
      <c r="D569" s="3">
        <v>45046</v>
      </c>
      <c r="E569" s="2"/>
      <c r="F569" s="4"/>
      <c r="H569" s="1"/>
      <c r="I569" s="2"/>
      <c r="J569" s="3">
        <v>45077</v>
      </c>
      <c r="K569" s="2"/>
      <c r="L569" s="4"/>
    </row>
    <row r="570" spans="2:12" x14ac:dyDescent="0.25">
      <c r="B570" s="5"/>
      <c r="D570" s="6"/>
      <c r="F570" s="7"/>
      <c r="H570" s="5"/>
      <c r="J570" s="6"/>
      <c r="L570" s="7"/>
    </row>
    <row r="571" spans="2:12" x14ac:dyDescent="0.25">
      <c r="B571" s="5"/>
      <c r="C571" s="8" t="s">
        <v>0</v>
      </c>
      <c r="D571" s="9"/>
      <c r="E571" s="9"/>
      <c r="F571" s="10"/>
      <c r="H571" s="5"/>
      <c r="I571" s="8" t="s">
        <v>0</v>
      </c>
      <c r="J571" s="9"/>
      <c r="K571" s="9"/>
      <c r="L571" s="10"/>
    </row>
    <row r="572" spans="2:12" x14ac:dyDescent="0.25">
      <c r="B572" s="5"/>
      <c r="C572" s="11" t="s">
        <v>1</v>
      </c>
      <c r="D572" s="12"/>
      <c r="E572" s="12"/>
      <c r="F572" s="13"/>
      <c r="H572" s="5"/>
      <c r="I572" s="11" t="s">
        <v>1</v>
      </c>
      <c r="J572" s="12"/>
      <c r="K572" s="12"/>
      <c r="L572" s="13"/>
    </row>
    <row r="573" spans="2:12" x14ac:dyDescent="0.25">
      <c r="B573" s="5"/>
      <c r="C573" s="14"/>
      <c r="D573" t="s">
        <v>2</v>
      </c>
      <c r="F573" s="7" t="s">
        <v>3</v>
      </c>
      <c r="H573" s="5"/>
      <c r="I573" s="14"/>
      <c r="J573" t="s">
        <v>2</v>
      </c>
      <c r="L573" s="7" t="s">
        <v>3</v>
      </c>
    </row>
    <row r="574" spans="2:12" x14ac:dyDescent="0.25">
      <c r="B574" s="5"/>
      <c r="C574" s="14" t="s">
        <v>4</v>
      </c>
      <c r="D574">
        <v>3457.4229999999998</v>
      </c>
      <c r="F574" s="15">
        <v>3.3000000000000002E-2</v>
      </c>
      <c r="H574" s="5"/>
      <c r="I574" s="14" t="s">
        <v>4</v>
      </c>
      <c r="J574">
        <v>3620.4960000000001</v>
      </c>
      <c r="L574" s="15">
        <v>3.3000000000000002E-2</v>
      </c>
    </row>
    <row r="575" spans="2:12" x14ac:dyDescent="0.25">
      <c r="B575" s="5"/>
      <c r="C575" s="14" t="s">
        <v>5</v>
      </c>
      <c r="D575">
        <v>773.56899999999996</v>
      </c>
      <c r="F575" s="15">
        <v>7.1999999999999995E-2</v>
      </c>
      <c r="H575" s="5"/>
      <c r="I575" s="14" t="s">
        <v>5</v>
      </c>
      <c r="J575">
        <v>815.54700000000003</v>
      </c>
      <c r="L575" s="15">
        <v>8.1000000000000003E-2</v>
      </c>
    </row>
    <row r="576" spans="2:12" ht="15.75" thickBot="1" x14ac:dyDescent="0.3">
      <c r="B576" s="5"/>
      <c r="C576" s="16" t="s">
        <v>6</v>
      </c>
      <c r="D576">
        <v>838.41200000000003</v>
      </c>
      <c r="E576" s="17"/>
      <c r="F576" s="18">
        <v>0.115</v>
      </c>
      <c r="H576" s="5"/>
      <c r="I576" s="16" t="s">
        <v>6</v>
      </c>
      <c r="J576">
        <v>881.25400000000002</v>
      </c>
      <c r="K576" s="17"/>
      <c r="L576" s="18">
        <v>0.127</v>
      </c>
    </row>
    <row r="577" spans="2:12" ht="15.75" thickBot="1" x14ac:dyDescent="0.3">
      <c r="B577" s="5"/>
      <c r="D577" s="19">
        <v>5069.4040000000005</v>
      </c>
      <c r="F577" s="19">
        <v>0.22</v>
      </c>
      <c r="H577" s="5"/>
      <c r="J577" s="19">
        <v>5317.2969999999996</v>
      </c>
      <c r="L577" s="19">
        <v>0.24099999999999999</v>
      </c>
    </row>
    <row r="578" spans="2:12" x14ac:dyDescent="0.25">
      <c r="B578" s="5"/>
      <c r="C578" s="8" t="s">
        <v>7</v>
      </c>
      <c r="D578" s="12"/>
      <c r="E578" s="9"/>
      <c r="F578" s="10"/>
      <c r="H578" s="5"/>
      <c r="I578" s="8" t="s">
        <v>7</v>
      </c>
      <c r="J578" s="12"/>
      <c r="K578" s="9"/>
      <c r="L578" s="10"/>
    </row>
    <row r="579" spans="2:12" x14ac:dyDescent="0.25">
      <c r="B579" s="5"/>
      <c r="C579" s="11" t="s">
        <v>1</v>
      </c>
      <c r="D579" s="12"/>
      <c r="E579" s="12"/>
      <c r="F579" s="13"/>
      <c r="H579" s="5"/>
      <c r="I579" s="11" t="s">
        <v>1</v>
      </c>
      <c r="J579" s="12"/>
      <c r="K579" s="12"/>
      <c r="L579" s="13"/>
    </row>
    <row r="580" spans="2:12" x14ac:dyDescent="0.25">
      <c r="B580" s="5"/>
      <c r="C580" s="14"/>
      <c r="D580" t="s">
        <v>2</v>
      </c>
      <c r="F580" s="7" t="s">
        <v>3</v>
      </c>
      <c r="H580" s="5"/>
      <c r="I580" s="14"/>
      <c r="J580" t="s">
        <v>2</v>
      </c>
      <c r="L580" s="7" t="s">
        <v>3</v>
      </c>
    </row>
    <row r="581" spans="2:12" x14ac:dyDescent="0.25">
      <c r="B581" s="5"/>
      <c r="C581" s="14" t="s">
        <v>4</v>
      </c>
      <c r="D581">
        <v>678.51300000000003</v>
      </c>
      <c r="F581" s="20">
        <v>1863.8689999999999</v>
      </c>
      <c r="H581" s="5"/>
      <c r="I581" s="14" t="s">
        <v>4</v>
      </c>
      <c r="J581">
        <v>752.69799999999998</v>
      </c>
      <c r="L581" s="20">
        <v>1905.2539999999999</v>
      </c>
    </row>
    <row r="582" spans="2:12" x14ac:dyDescent="0.25">
      <c r="B582" s="5"/>
      <c r="C582" s="14" t="s">
        <v>5</v>
      </c>
      <c r="D582">
        <v>354.53100000000001</v>
      </c>
      <c r="F582" s="21">
        <v>640.12800000000004</v>
      </c>
      <c r="H582" s="5"/>
      <c r="I582" s="14" t="s">
        <v>5</v>
      </c>
      <c r="J582">
        <v>387.24700000000001</v>
      </c>
      <c r="L582" s="21">
        <v>684.25599999999997</v>
      </c>
    </row>
    <row r="583" spans="2:12" ht="15.75" thickBot="1" x14ac:dyDescent="0.3">
      <c r="B583" s="5"/>
      <c r="C583" s="16" t="s">
        <v>6</v>
      </c>
      <c r="D583">
        <v>445.93200000000002</v>
      </c>
      <c r="E583" s="17"/>
      <c r="F583" s="21">
        <v>778.42600000000004</v>
      </c>
      <c r="H583" s="5"/>
      <c r="I583" s="16" t="s">
        <v>6</v>
      </c>
      <c r="J583">
        <v>491.28500000000003</v>
      </c>
      <c r="K583" s="17"/>
      <c r="L583" s="21">
        <v>824.63499999999999</v>
      </c>
    </row>
    <row r="584" spans="2:12" ht="15.75" thickBot="1" x14ac:dyDescent="0.3">
      <c r="B584" s="5"/>
      <c r="D584" s="19">
        <v>1478.9760000000001</v>
      </c>
      <c r="F584" s="19">
        <v>3282.4229999999998</v>
      </c>
      <c r="H584" s="5"/>
      <c r="J584" s="19">
        <v>1631.23</v>
      </c>
      <c r="L584" s="19">
        <v>3414.145</v>
      </c>
    </row>
    <row r="585" spans="2:12" x14ac:dyDescent="0.25">
      <c r="B585" s="22" t="s">
        <v>8</v>
      </c>
      <c r="C585" s="23"/>
      <c r="D585" s="23"/>
      <c r="E585" s="23">
        <f>D577-J556</f>
        <v>83.321000000000822</v>
      </c>
      <c r="F585" s="7"/>
      <c r="H585" s="22" t="s">
        <v>8</v>
      </c>
      <c r="I585" s="23"/>
      <c r="J585" s="23"/>
      <c r="K585" s="23">
        <f>J577-D577</f>
        <v>247.89299999999912</v>
      </c>
      <c r="L585" s="7"/>
    </row>
    <row r="586" spans="2:12" ht="15.75" thickBot="1" x14ac:dyDescent="0.3">
      <c r="B586" s="24" t="s">
        <v>9</v>
      </c>
      <c r="C586" s="25"/>
      <c r="D586" s="25"/>
      <c r="E586" s="25">
        <f>F584-L563</f>
        <v>21.769999999999982</v>
      </c>
      <c r="F586" s="26"/>
      <c r="H586" s="24" t="s">
        <v>9</v>
      </c>
      <c r="I586" s="25"/>
      <c r="J586" s="25"/>
      <c r="K586" s="25">
        <f>L584-F584</f>
        <v>131.72200000000021</v>
      </c>
      <c r="L586" s="26"/>
    </row>
    <row r="587" spans="2:12" x14ac:dyDescent="0.25">
      <c r="B587" s="27" t="s">
        <v>10</v>
      </c>
      <c r="C587" s="27"/>
      <c r="D587" s="27"/>
      <c r="E587" s="27">
        <f>D584-J563</f>
        <v>59.527000000000044</v>
      </c>
      <c r="H587" s="27" t="s">
        <v>10</v>
      </c>
      <c r="I587" s="27"/>
      <c r="J587" s="27"/>
      <c r="K587" s="27">
        <f>J584-D584</f>
        <v>152.25399999999991</v>
      </c>
    </row>
    <row r="589" spans="2:12" ht="15.75" thickBot="1" x14ac:dyDescent="0.3"/>
    <row r="590" spans="2:12" x14ac:dyDescent="0.25">
      <c r="B590" s="1"/>
      <c r="C590" s="2"/>
      <c r="D590" s="3">
        <v>45107</v>
      </c>
      <c r="E590" s="2"/>
      <c r="F590" s="4"/>
      <c r="H590" s="1"/>
      <c r="I590" s="2"/>
      <c r="J590" s="3">
        <v>45138</v>
      </c>
      <c r="K590" s="2"/>
      <c r="L590" s="4"/>
    </row>
    <row r="591" spans="2:12" x14ac:dyDescent="0.25">
      <c r="B591" s="5"/>
      <c r="D591" s="6"/>
      <c r="F591" s="7"/>
      <c r="H591" s="5"/>
      <c r="J591" s="6"/>
      <c r="L591" s="7"/>
    </row>
    <row r="592" spans="2:12" x14ac:dyDescent="0.25">
      <c r="B592" s="5"/>
      <c r="C592" s="8" t="s">
        <v>0</v>
      </c>
      <c r="D592" s="9"/>
      <c r="E592" s="9"/>
      <c r="F592" s="10"/>
      <c r="H592" s="5"/>
      <c r="I592" s="8" t="s">
        <v>0</v>
      </c>
      <c r="J592" s="9"/>
      <c r="K592" s="9"/>
      <c r="L592" s="10"/>
    </row>
    <row r="593" spans="2:12" x14ac:dyDescent="0.25">
      <c r="B593" s="5"/>
      <c r="C593" s="11" t="s">
        <v>1</v>
      </c>
      <c r="D593" s="12"/>
      <c r="E593" s="12"/>
      <c r="F593" s="13"/>
      <c r="H593" s="5"/>
      <c r="I593" s="11" t="s">
        <v>1</v>
      </c>
      <c r="J593" s="12"/>
      <c r="K593" s="12"/>
      <c r="L593" s="13"/>
    </row>
    <row r="594" spans="2:12" x14ac:dyDescent="0.25">
      <c r="B594" s="5"/>
      <c r="C594" s="14"/>
      <c r="D594" t="s">
        <v>2</v>
      </c>
      <c r="F594" s="7" t="s">
        <v>3</v>
      </c>
      <c r="H594" s="5"/>
      <c r="I594" s="14"/>
      <c r="J594" t="s">
        <v>2</v>
      </c>
      <c r="L594" s="7" t="s">
        <v>3</v>
      </c>
    </row>
    <row r="595" spans="2:12" x14ac:dyDescent="0.25">
      <c r="B595" s="5"/>
      <c r="C595" s="14" t="s">
        <v>4</v>
      </c>
      <c r="D595">
        <v>3786.7190000000001</v>
      </c>
      <c r="F595" s="15">
        <v>3.3000000000000002E-2</v>
      </c>
      <c r="H595" s="5"/>
      <c r="I595" s="14" t="s">
        <v>4</v>
      </c>
      <c r="J595">
        <v>3984.2570000000001</v>
      </c>
      <c r="L595" s="15">
        <v>3.3000000000000002E-2</v>
      </c>
    </row>
    <row r="596" spans="2:12" x14ac:dyDescent="0.25">
      <c r="B596" s="5"/>
      <c r="C596" s="14" t="s">
        <v>5</v>
      </c>
      <c r="D596">
        <v>858.15700000000004</v>
      </c>
      <c r="F596" s="15">
        <v>8.1000000000000003E-2</v>
      </c>
      <c r="H596" s="5"/>
      <c r="I596" s="14" t="s">
        <v>5</v>
      </c>
      <c r="J596">
        <v>882.63699999999994</v>
      </c>
      <c r="L596" s="15">
        <v>8.2000000000000003E-2</v>
      </c>
    </row>
    <row r="597" spans="2:12" ht="15.75" thickBot="1" x14ac:dyDescent="0.3">
      <c r="B597" s="5"/>
      <c r="C597" s="16" t="s">
        <v>6</v>
      </c>
      <c r="D597">
        <v>928.91200000000003</v>
      </c>
      <c r="E597" s="17"/>
      <c r="F597" s="18">
        <v>0.126</v>
      </c>
      <c r="H597" s="5"/>
      <c r="I597" s="16" t="s">
        <v>6</v>
      </c>
      <c r="J597">
        <v>979.23599999999999</v>
      </c>
      <c r="K597" s="17"/>
      <c r="L597" s="18">
        <v>0.128</v>
      </c>
    </row>
    <row r="598" spans="2:12" ht="15.75" thickBot="1" x14ac:dyDescent="0.3">
      <c r="B598" s="5"/>
      <c r="D598" s="19">
        <v>5573.7879999999996</v>
      </c>
      <c r="F598" s="19">
        <v>0.24</v>
      </c>
      <c r="H598" s="5"/>
      <c r="J598" s="19">
        <v>5846.13</v>
      </c>
      <c r="L598" s="19">
        <v>0.24299999999999999</v>
      </c>
    </row>
    <row r="599" spans="2:12" x14ac:dyDescent="0.25">
      <c r="B599" s="5"/>
      <c r="C599" s="8" t="s">
        <v>7</v>
      </c>
      <c r="D599" s="12"/>
      <c r="E599" s="9"/>
      <c r="F599" s="10"/>
      <c r="H599" s="5"/>
      <c r="I599" s="8" t="s">
        <v>7</v>
      </c>
      <c r="J599" s="12"/>
      <c r="K599" s="9"/>
      <c r="L599" s="10"/>
    </row>
    <row r="600" spans="2:12" x14ac:dyDescent="0.25">
      <c r="B600" s="5"/>
      <c r="C600" s="11" t="s">
        <v>1</v>
      </c>
      <c r="D600" s="12"/>
      <c r="E600" s="12"/>
      <c r="F600" s="13"/>
      <c r="H600" s="5"/>
      <c r="I600" s="11" t="s">
        <v>1</v>
      </c>
      <c r="J600" s="12"/>
      <c r="K600" s="12"/>
      <c r="L600" s="13"/>
    </row>
    <row r="601" spans="2:12" x14ac:dyDescent="0.25">
      <c r="B601" s="5"/>
      <c r="C601" s="14"/>
      <c r="D601" t="s">
        <v>2</v>
      </c>
      <c r="F601" s="7" t="s">
        <v>3</v>
      </c>
      <c r="H601" s="5"/>
      <c r="I601" s="14"/>
      <c r="J601" t="s">
        <v>2</v>
      </c>
      <c r="L601" s="7" t="s">
        <v>3</v>
      </c>
    </row>
    <row r="602" spans="2:12" x14ac:dyDescent="0.25">
      <c r="B602" s="5"/>
      <c r="C602" s="14" t="s">
        <v>4</v>
      </c>
      <c r="D602">
        <v>802.99400000000003</v>
      </c>
      <c r="F602" s="20">
        <v>1956.1369999999999</v>
      </c>
      <c r="H602" s="5"/>
      <c r="I602" s="14" t="s">
        <v>4</v>
      </c>
      <c r="J602">
        <v>868.45299999999997</v>
      </c>
      <c r="L602" s="20">
        <v>2080.2570000000001</v>
      </c>
    </row>
    <row r="603" spans="2:12" x14ac:dyDescent="0.25">
      <c r="B603" s="5"/>
      <c r="C603" s="14" t="s">
        <v>5</v>
      </c>
      <c r="D603">
        <v>417.25900000000001</v>
      </c>
      <c r="F603" s="21">
        <v>708.15800000000002</v>
      </c>
      <c r="H603" s="5"/>
      <c r="I603" s="14" t="s">
        <v>5</v>
      </c>
      <c r="J603">
        <v>446.238</v>
      </c>
      <c r="L603" s="21">
        <v>729.57399999999996</v>
      </c>
    </row>
    <row r="604" spans="2:12" ht="15.75" thickBot="1" x14ac:dyDescent="0.3">
      <c r="B604" s="5"/>
      <c r="C604" s="16" t="s">
        <v>6</v>
      </c>
      <c r="D604">
        <v>523.37099999999998</v>
      </c>
      <c r="E604" s="17"/>
      <c r="F604" s="21">
        <v>889.15899999999999</v>
      </c>
      <c r="H604" s="5"/>
      <c r="I604" s="16" t="s">
        <v>6</v>
      </c>
      <c r="J604">
        <v>548.85199999999998</v>
      </c>
      <c r="K604" s="17"/>
      <c r="L604" s="21">
        <v>916.42100000000005</v>
      </c>
    </row>
    <row r="605" spans="2:12" ht="15.75" thickBot="1" x14ac:dyDescent="0.3">
      <c r="B605" s="5"/>
      <c r="D605" s="19">
        <v>1743.624</v>
      </c>
      <c r="F605" s="19">
        <v>3553.4540000000002</v>
      </c>
      <c r="H605" s="5"/>
      <c r="J605" s="19">
        <v>1863.5429999999999</v>
      </c>
      <c r="L605" s="19">
        <v>3726.252</v>
      </c>
    </row>
    <row r="606" spans="2:12" x14ac:dyDescent="0.25">
      <c r="B606" s="22" t="s">
        <v>8</v>
      </c>
      <c r="C606" s="23"/>
      <c r="D606" s="23"/>
      <c r="E606" s="23">
        <f>D598-J577</f>
        <v>256.49099999999999</v>
      </c>
      <c r="F606" s="7"/>
      <c r="H606" s="22" t="s">
        <v>8</v>
      </c>
      <c r="I606" s="23"/>
      <c r="J606" s="23"/>
      <c r="K606" s="23">
        <f>J598-D598</f>
        <v>272.34200000000055</v>
      </c>
      <c r="L606" s="7"/>
    </row>
    <row r="607" spans="2:12" ht="15.75" thickBot="1" x14ac:dyDescent="0.3">
      <c r="B607" s="24" t="s">
        <v>9</v>
      </c>
      <c r="C607" s="25"/>
      <c r="D607" s="25"/>
      <c r="E607" s="25">
        <f>F605-L584</f>
        <v>139.3090000000002</v>
      </c>
      <c r="F607" s="26"/>
      <c r="H607" s="24" t="s">
        <v>9</v>
      </c>
      <c r="I607" s="25"/>
      <c r="J607" s="25"/>
      <c r="K607" s="25">
        <f>L605-F605</f>
        <v>172.79799999999977</v>
      </c>
      <c r="L607" s="26"/>
    </row>
    <row r="608" spans="2:12" x14ac:dyDescent="0.25">
      <c r="B608" s="27" t="s">
        <v>10</v>
      </c>
      <c r="C608" s="27"/>
      <c r="D608" s="27"/>
      <c r="E608" s="27">
        <f>D605-J584</f>
        <v>112.39400000000001</v>
      </c>
      <c r="H608" s="27" t="s">
        <v>10</v>
      </c>
      <c r="I608" s="27"/>
      <c r="J608" s="27"/>
      <c r="K608" s="27">
        <f>J605-D605</f>
        <v>119.91899999999987</v>
      </c>
    </row>
    <row r="610" spans="2:12" ht="15.75" thickBot="1" x14ac:dyDescent="0.3"/>
    <row r="611" spans="2:12" x14ac:dyDescent="0.25">
      <c r="B611" s="1"/>
      <c r="C611" s="2"/>
      <c r="D611" s="3">
        <v>45169</v>
      </c>
      <c r="E611" s="2"/>
      <c r="F611" s="4"/>
      <c r="H611" s="1"/>
      <c r="I611" s="2"/>
      <c r="J611" s="3">
        <v>45199</v>
      </c>
      <c r="K611" s="2"/>
      <c r="L611" s="4"/>
    </row>
    <row r="612" spans="2:12" x14ac:dyDescent="0.25">
      <c r="B612" s="5"/>
      <c r="D612" s="6"/>
      <c r="F612" s="7"/>
      <c r="H612" s="5"/>
      <c r="J612" s="6"/>
      <c r="L612" s="7"/>
    </row>
    <row r="613" spans="2:12" x14ac:dyDescent="0.25">
      <c r="B613" s="5"/>
      <c r="C613" s="8" t="s">
        <v>0</v>
      </c>
      <c r="D613" s="9"/>
      <c r="E613" s="9"/>
      <c r="F613" s="10"/>
      <c r="H613" s="5"/>
      <c r="I613" s="8" t="s">
        <v>0</v>
      </c>
      <c r="J613" s="9"/>
      <c r="K613" s="9"/>
      <c r="L613" s="10"/>
    </row>
    <row r="614" spans="2:12" x14ac:dyDescent="0.25">
      <c r="B614" s="5"/>
      <c r="C614" s="11" t="s">
        <v>1</v>
      </c>
      <c r="D614" s="12"/>
      <c r="E614" s="12"/>
      <c r="F614" s="13"/>
      <c r="H614" s="5"/>
      <c r="I614" s="11" t="s">
        <v>1</v>
      </c>
      <c r="J614" s="12"/>
      <c r="K614" s="12"/>
      <c r="L614" s="13"/>
    </row>
    <row r="615" spans="2:12" x14ac:dyDescent="0.25">
      <c r="B615" s="5"/>
      <c r="C615" s="14"/>
      <c r="D615" t="s">
        <v>2</v>
      </c>
      <c r="F615" s="7" t="s">
        <v>3</v>
      </c>
      <c r="H615" s="5"/>
      <c r="I615" s="14"/>
      <c r="J615" t="s">
        <v>2</v>
      </c>
      <c r="L615" s="7" t="s">
        <v>3</v>
      </c>
    </row>
    <row r="616" spans="2:12" x14ac:dyDescent="0.25">
      <c r="B616" s="5"/>
      <c r="C616" s="14" t="s">
        <v>4</v>
      </c>
      <c r="D616">
        <v>4222.8609999999999</v>
      </c>
      <c r="F616" s="15">
        <v>3.3000000000000002E-2</v>
      </c>
      <c r="H616" s="5"/>
      <c r="I616" s="14" t="s">
        <v>4</v>
      </c>
      <c r="J616">
        <v>4369.5739999999996</v>
      </c>
      <c r="L616" s="15">
        <v>3.5000000000000003E-2</v>
      </c>
    </row>
    <row r="617" spans="2:12" x14ac:dyDescent="0.25">
      <c r="B617" s="5"/>
      <c r="C617" s="14" t="s">
        <v>5</v>
      </c>
      <c r="D617">
        <v>950.6</v>
      </c>
      <c r="F617" s="15">
        <v>8.6999999999999994E-2</v>
      </c>
      <c r="H617" s="5"/>
      <c r="I617" s="14" t="s">
        <v>5</v>
      </c>
      <c r="J617">
        <v>978.12900000000002</v>
      </c>
      <c r="L617" s="15">
        <v>8.8999999999999996E-2</v>
      </c>
    </row>
    <row r="618" spans="2:12" ht="15.75" thickBot="1" x14ac:dyDescent="0.3">
      <c r="B618" s="5"/>
      <c r="C618" s="16" t="s">
        <v>6</v>
      </c>
      <c r="D618">
        <v>1028.652</v>
      </c>
      <c r="E618" s="17"/>
      <c r="F618" s="18">
        <v>0.13300000000000001</v>
      </c>
      <c r="H618" s="5"/>
      <c r="I618" s="16" t="s">
        <v>6</v>
      </c>
      <c r="J618">
        <v>1060.2560000000001</v>
      </c>
      <c r="K618" s="17"/>
      <c r="L618" s="18">
        <v>0.13600000000000001</v>
      </c>
    </row>
    <row r="619" spans="2:12" ht="15.75" thickBot="1" x14ac:dyDescent="0.3">
      <c r="B619" s="5"/>
      <c r="D619" s="19">
        <v>6202.1130000000003</v>
      </c>
      <c r="F619" s="19">
        <v>0.253</v>
      </c>
      <c r="H619" s="5"/>
      <c r="J619" s="19">
        <v>6407.9589999999998</v>
      </c>
      <c r="L619" s="19">
        <v>0.26</v>
      </c>
    </row>
    <row r="620" spans="2:12" x14ac:dyDescent="0.25">
      <c r="B620" s="5"/>
      <c r="C620" s="8" t="s">
        <v>7</v>
      </c>
      <c r="D620" s="12"/>
      <c r="E620" s="9"/>
      <c r="F620" s="10"/>
      <c r="H620" s="5"/>
      <c r="I620" s="8" t="s">
        <v>7</v>
      </c>
      <c r="J620" s="12"/>
      <c r="K620" s="9"/>
      <c r="L620" s="10"/>
    </row>
    <row r="621" spans="2:12" x14ac:dyDescent="0.25">
      <c r="B621" s="5"/>
      <c r="C621" s="11" t="s">
        <v>1</v>
      </c>
      <c r="D621" s="12"/>
      <c r="E621" s="12"/>
      <c r="F621" s="13"/>
      <c r="H621" s="5"/>
      <c r="I621" s="11" t="s">
        <v>1</v>
      </c>
      <c r="J621" s="12"/>
      <c r="K621" s="12"/>
      <c r="L621" s="13"/>
    </row>
    <row r="622" spans="2:12" x14ac:dyDescent="0.25">
      <c r="B622" s="5"/>
      <c r="C622" s="14"/>
      <c r="D622" t="s">
        <v>2</v>
      </c>
      <c r="F622" s="7" t="s">
        <v>3</v>
      </c>
      <c r="H622" s="5"/>
      <c r="I622" s="14"/>
      <c r="J622" t="s">
        <v>2</v>
      </c>
      <c r="L622" s="7" t="s">
        <v>3</v>
      </c>
    </row>
    <row r="623" spans="2:12" x14ac:dyDescent="0.25">
      <c r="B623" s="5"/>
      <c r="C623" s="14" t="s">
        <v>4</v>
      </c>
      <c r="D623">
        <v>926.30899999999997</v>
      </c>
      <c r="F623" s="20">
        <v>2183.7730000000001</v>
      </c>
      <c r="H623" s="5"/>
      <c r="I623" s="14" t="s">
        <v>4</v>
      </c>
      <c r="J623">
        <v>967.41899999999998</v>
      </c>
      <c r="L623" s="20">
        <v>2215.0010000000002</v>
      </c>
    </row>
    <row r="624" spans="2:12" x14ac:dyDescent="0.25">
      <c r="B624" s="5"/>
      <c r="C624" s="14" t="s">
        <v>5</v>
      </c>
      <c r="D624">
        <v>490.81</v>
      </c>
      <c r="F624" s="21">
        <v>770.54200000000003</v>
      </c>
      <c r="H624" s="5"/>
      <c r="I624" s="14" t="s">
        <v>5</v>
      </c>
      <c r="J624">
        <v>508.29399999999998</v>
      </c>
      <c r="L624" s="21">
        <v>791.25800000000004</v>
      </c>
    </row>
    <row r="625" spans="2:12" ht="15.75" thickBot="1" x14ac:dyDescent="0.3">
      <c r="B625" s="5"/>
      <c r="C625" s="16" t="s">
        <v>6</v>
      </c>
      <c r="D625">
        <v>611.11599999999999</v>
      </c>
      <c r="E625" s="17"/>
      <c r="F625" s="21">
        <v>995.52700000000004</v>
      </c>
      <c r="H625" s="5"/>
      <c r="I625" s="16" t="s">
        <v>6</v>
      </c>
      <c r="J625">
        <v>636.28300000000002</v>
      </c>
      <c r="K625" s="17"/>
      <c r="L625" s="21">
        <v>1032.4179999999999</v>
      </c>
    </row>
    <row r="626" spans="2:12" ht="15.75" thickBot="1" x14ac:dyDescent="0.3">
      <c r="B626" s="5"/>
      <c r="D626" s="19">
        <v>2028.2349999999999</v>
      </c>
      <c r="F626" s="19">
        <v>3949.8420000000001</v>
      </c>
      <c r="H626" s="5"/>
      <c r="J626" s="19">
        <v>2111.9960000000001</v>
      </c>
      <c r="L626" s="19">
        <v>4038.6770000000001</v>
      </c>
    </row>
    <row r="627" spans="2:12" x14ac:dyDescent="0.25">
      <c r="B627" s="22" t="s">
        <v>8</v>
      </c>
      <c r="C627" s="23"/>
      <c r="D627" s="23"/>
      <c r="E627" s="23">
        <f>D619-J598</f>
        <v>355.98300000000017</v>
      </c>
      <c r="F627" s="7"/>
      <c r="H627" s="22" t="s">
        <v>8</v>
      </c>
      <c r="I627" s="23"/>
      <c r="J627" s="23"/>
      <c r="K627" s="23"/>
      <c r="L627" s="7"/>
    </row>
    <row r="628" spans="2:12" ht="15.75" thickBot="1" x14ac:dyDescent="0.3">
      <c r="B628" s="24" t="s">
        <v>9</v>
      </c>
      <c r="C628" s="25"/>
      <c r="D628" s="25"/>
      <c r="E628" s="25">
        <f>F626-L605</f>
        <v>223.59000000000015</v>
      </c>
      <c r="F628" s="26"/>
      <c r="H628" s="24" t="s">
        <v>9</v>
      </c>
      <c r="I628" s="25"/>
      <c r="J628" s="25"/>
      <c r="K628" s="25"/>
      <c r="L628" s="26"/>
    </row>
    <row r="629" spans="2:12" x14ac:dyDescent="0.25">
      <c r="B629" s="27" t="s">
        <v>10</v>
      </c>
      <c r="C629" s="27"/>
      <c r="D629" s="27"/>
      <c r="E629" s="27">
        <f>D626-J605</f>
        <v>164.69200000000001</v>
      </c>
      <c r="H629" s="27" t="s">
        <v>10</v>
      </c>
      <c r="I629" s="27"/>
      <c r="J629" s="27"/>
      <c r="K629" s="27"/>
    </row>
    <row r="631" spans="2:12" ht="15.75" thickBot="1" x14ac:dyDescent="0.3"/>
    <row r="632" spans="2:12" x14ac:dyDescent="0.25">
      <c r="B632" s="1"/>
      <c r="C632" s="2"/>
      <c r="D632" s="3">
        <v>45230</v>
      </c>
      <c r="E632" s="2"/>
      <c r="F632" s="4"/>
      <c r="H632" s="1"/>
      <c r="I632" s="2"/>
      <c r="J632" s="3">
        <v>45260</v>
      </c>
      <c r="K632" s="2"/>
      <c r="L632" s="4"/>
    </row>
    <row r="633" spans="2:12" x14ac:dyDescent="0.25">
      <c r="B633" s="5"/>
      <c r="D633" s="6"/>
      <c r="F633" s="7"/>
      <c r="H633" s="5"/>
      <c r="J633" s="6"/>
      <c r="L633" s="7"/>
    </row>
    <row r="634" spans="2:12" x14ac:dyDescent="0.25">
      <c r="B634" s="5"/>
      <c r="C634" s="8" t="s">
        <v>0</v>
      </c>
      <c r="D634" s="9"/>
      <c r="E634" s="9"/>
      <c r="F634" s="10"/>
      <c r="H634" s="5"/>
      <c r="I634" s="8" t="s">
        <v>0</v>
      </c>
      <c r="J634" s="9"/>
      <c r="K634" s="9"/>
      <c r="L634" s="10"/>
    </row>
    <row r="635" spans="2:12" x14ac:dyDescent="0.25">
      <c r="B635" s="5"/>
      <c r="C635" s="11" t="s">
        <v>1</v>
      </c>
      <c r="D635" s="12"/>
      <c r="E635" s="12"/>
      <c r="F635" s="13"/>
      <c r="H635" s="5"/>
      <c r="I635" s="11" t="s">
        <v>1</v>
      </c>
      <c r="J635" s="12"/>
      <c r="K635" s="12"/>
      <c r="L635" s="13"/>
    </row>
    <row r="636" spans="2:12" x14ac:dyDescent="0.25">
      <c r="B636" s="5"/>
      <c r="C636" s="14"/>
      <c r="D636" t="s">
        <v>2</v>
      </c>
      <c r="F636" s="7" t="s">
        <v>3</v>
      </c>
      <c r="H636" s="5"/>
      <c r="I636" s="14"/>
      <c r="J636" t="s">
        <v>2</v>
      </c>
      <c r="L636" s="7" t="s">
        <v>3</v>
      </c>
    </row>
    <row r="637" spans="2:12" x14ac:dyDescent="0.25">
      <c r="B637" s="5"/>
      <c r="C637" s="14" t="s">
        <v>4</v>
      </c>
      <c r="D637">
        <v>4420.2579999999998</v>
      </c>
      <c r="F637" s="15">
        <v>3.9E-2</v>
      </c>
      <c r="H637" s="5"/>
      <c r="I637" s="14" t="s">
        <v>4</v>
      </c>
      <c r="J637">
        <v>4500.5169999999998</v>
      </c>
      <c r="L637" s="15">
        <v>4.2000000000000003E-2</v>
      </c>
    </row>
    <row r="638" spans="2:12" x14ac:dyDescent="0.25">
      <c r="B638" s="5"/>
      <c r="C638" s="14" t="s">
        <v>5</v>
      </c>
      <c r="D638">
        <v>995.32399999999996</v>
      </c>
      <c r="F638" s="15">
        <v>0.09</v>
      </c>
      <c r="H638" s="5"/>
      <c r="I638" s="14" t="s">
        <v>5</v>
      </c>
      <c r="J638">
        <v>1011.174</v>
      </c>
      <c r="L638" s="15">
        <v>9.0999999999999998E-2</v>
      </c>
    </row>
    <row r="639" spans="2:12" ht="15.75" thickBot="1" x14ac:dyDescent="0.3">
      <c r="B639" s="5"/>
      <c r="C639" s="16" t="s">
        <v>6</v>
      </c>
      <c r="D639">
        <v>1078.539</v>
      </c>
      <c r="E639" s="17"/>
      <c r="F639" s="18">
        <v>0.14000000000000001</v>
      </c>
      <c r="H639" s="5"/>
      <c r="I639" s="16" t="s">
        <v>6</v>
      </c>
      <c r="J639">
        <v>1090.867</v>
      </c>
      <c r="K639" s="17"/>
      <c r="L639" s="18">
        <v>0.14299999999999999</v>
      </c>
    </row>
    <row r="640" spans="2:12" ht="15.75" thickBot="1" x14ac:dyDescent="0.3">
      <c r="B640" s="5"/>
      <c r="D640" s="19">
        <v>6494.1210000000001</v>
      </c>
      <c r="F640" s="19">
        <v>0.26900000000000002</v>
      </c>
      <c r="H640" s="5"/>
      <c r="J640" s="19">
        <v>6602.558</v>
      </c>
      <c r="L640" s="19">
        <v>0.27600000000000002</v>
      </c>
    </row>
    <row r="641" spans="2:12" x14ac:dyDescent="0.25">
      <c r="B641" s="5"/>
      <c r="C641" s="8" t="s">
        <v>7</v>
      </c>
      <c r="D641" s="12"/>
      <c r="E641" s="9"/>
      <c r="F641" s="10"/>
      <c r="H641" s="5"/>
      <c r="I641" s="8" t="s">
        <v>7</v>
      </c>
      <c r="J641" s="12"/>
      <c r="K641" s="9"/>
      <c r="L641" s="10"/>
    </row>
    <row r="642" spans="2:12" x14ac:dyDescent="0.25">
      <c r="B642" s="5"/>
      <c r="C642" s="11" t="s">
        <v>1</v>
      </c>
      <c r="D642" s="12"/>
      <c r="E642" s="12"/>
      <c r="F642" s="13"/>
      <c r="H642" s="5"/>
      <c r="I642" s="11" t="s">
        <v>1</v>
      </c>
      <c r="J642" s="12"/>
      <c r="K642" s="12"/>
      <c r="L642" s="13"/>
    </row>
    <row r="643" spans="2:12" x14ac:dyDescent="0.25">
      <c r="B643" s="5"/>
      <c r="C643" s="14"/>
      <c r="D643" t="s">
        <v>2</v>
      </c>
      <c r="F643" s="7" t="s">
        <v>3</v>
      </c>
      <c r="H643" s="5"/>
      <c r="I643" s="14"/>
      <c r="J643" t="s">
        <v>2</v>
      </c>
      <c r="L643" s="7" t="s">
        <v>3</v>
      </c>
    </row>
    <row r="644" spans="2:12" x14ac:dyDescent="0.25">
      <c r="B644" s="5"/>
      <c r="C644" s="14" t="s">
        <v>4</v>
      </c>
      <c r="D644">
        <v>985.26800000000003</v>
      </c>
      <c r="F644" s="20">
        <v>2349.8620000000001</v>
      </c>
      <c r="H644" s="5"/>
      <c r="I644" s="14" t="s">
        <v>4</v>
      </c>
      <c r="J644">
        <v>1000.5839999999999</v>
      </c>
      <c r="L644" s="20">
        <v>2455.4189999999999</v>
      </c>
    </row>
    <row r="645" spans="2:12" x14ac:dyDescent="0.25">
      <c r="B645" s="5"/>
      <c r="C645" s="14" t="s">
        <v>5</v>
      </c>
      <c r="D645">
        <v>519.23800000000006</v>
      </c>
      <c r="F645" s="21">
        <v>830.529</v>
      </c>
      <c r="H645" s="5"/>
      <c r="I645" s="14" t="s">
        <v>5</v>
      </c>
      <c r="J645">
        <v>532.19799999999998</v>
      </c>
      <c r="L645" s="21">
        <v>874.25900000000001</v>
      </c>
    </row>
    <row r="646" spans="2:12" ht="15.75" thickBot="1" x14ac:dyDescent="0.3">
      <c r="B646" s="5"/>
      <c r="C646" s="16" t="s">
        <v>6</v>
      </c>
      <c r="D646">
        <v>648.52300000000002</v>
      </c>
      <c r="E646" s="17"/>
      <c r="F646" s="21">
        <v>1085.5319999999999</v>
      </c>
      <c r="H646" s="5"/>
      <c r="I646" s="16" t="s">
        <v>6</v>
      </c>
      <c r="J646">
        <v>664.26700000000005</v>
      </c>
      <c r="K646" s="17"/>
      <c r="L646" s="21">
        <v>1138.4290000000001</v>
      </c>
    </row>
    <row r="647" spans="2:12" ht="15.75" thickBot="1" x14ac:dyDescent="0.3">
      <c r="B647" s="5"/>
      <c r="D647" s="19">
        <v>2153.029</v>
      </c>
      <c r="F647" s="19">
        <v>4265.9229999999998</v>
      </c>
      <c r="H647" s="5"/>
      <c r="J647" s="19">
        <v>2197.049</v>
      </c>
      <c r="L647" s="19">
        <v>4468.107</v>
      </c>
    </row>
    <row r="648" spans="2:12" x14ac:dyDescent="0.25">
      <c r="B648" s="22" t="s">
        <v>8</v>
      </c>
      <c r="C648" s="23"/>
      <c r="D648" s="23"/>
      <c r="E648" s="23"/>
      <c r="F648" s="7"/>
      <c r="H648" s="22" t="s">
        <v>8</v>
      </c>
      <c r="I648" s="23"/>
      <c r="J648" s="23"/>
      <c r="K648" s="23"/>
      <c r="L648" s="7"/>
    </row>
    <row r="649" spans="2:12" ht="15.75" thickBot="1" x14ac:dyDescent="0.3">
      <c r="B649" s="24" t="s">
        <v>9</v>
      </c>
      <c r="C649" s="25"/>
      <c r="D649" s="25"/>
      <c r="E649" s="25"/>
      <c r="F649" s="26"/>
      <c r="H649" s="24" t="s">
        <v>9</v>
      </c>
      <c r="I649" s="25"/>
      <c r="J649" s="25"/>
      <c r="K649" s="25"/>
      <c r="L649" s="26"/>
    </row>
    <row r="650" spans="2:12" x14ac:dyDescent="0.25">
      <c r="B650" s="27" t="s">
        <v>10</v>
      </c>
      <c r="C650" s="27"/>
      <c r="D650" s="27"/>
      <c r="E650" s="27"/>
      <c r="H650" s="27" t="s">
        <v>10</v>
      </c>
      <c r="I650" s="27"/>
      <c r="J650" s="27"/>
      <c r="K650" s="27"/>
    </row>
    <row r="652" spans="2:12" ht="15.75" thickBot="1" x14ac:dyDescent="0.3"/>
    <row r="653" spans="2:12" x14ac:dyDescent="0.25">
      <c r="B653" s="1"/>
      <c r="C653" s="2"/>
      <c r="D653" s="3">
        <v>45291</v>
      </c>
      <c r="E653" s="2"/>
      <c r="F653" s="4"/>
      <c r="H653" s="1"/>
      <c r="I653" s="2"/>
      <c r="J653" s="3">
        <v>45299</v>
      </c>
      <c r="K653" s="2"/>
      <c r="L653" s="4"/>
    </row>
    <row r="654" spans="2:12" x14ac:dyDescent="0.25">
      <c r="B654" s="5"/>
      <c r="D654" s="6"/>
      <c r="F654" s="7"/>
      <c r="H654" s="5"/>
      <c r="J654" s="6"/>
      <c r="L654" s="7"/>
    </row>
    <row r="655" spans="2:12" x14ac:dyDescent="0.25">
      <c r="B655" s="5"/>
      <c r="C655" s="8" t="s">
        <v>0</v>
      </c>
      <c r="D655" s="9"/>
      <c r="E655" s="9"/>
      <c r="F655" s="10"/>
      <c r="H655" s="5"/>
      <c r="I655" s="8" t="s">
        <v>0</v>
      </c>
      <c r="J655" s="9"/>
      <c r="K655" s="9"/>
      <c r="L655" s="10"/>
    </row>
    <row r="656" spans="2:12" x14ac:dyDescent="0.25">
      <c r="B656" s="5"/>
      <c r="C656" s="11" t="s">
        <v>1</v>
      </c>
      <c r="D656" s="12"/>
      <c r="E656" s="12"/>
      <c r="F656" s="13"/>
      <c r="H656" s="5"/>
      <c r="I656" s="11" t="s">
        <v>1</v>
      </c>
      <c r="J656" s="12"/>
      <c r="K656" s="12"/>
      <c r="L656" s="13"/>
    </row>
    <row r="657" spans="2:12" x14ac:dyDescent="0.25">
      <c r="B657" s="5"/>
      <c r="C657" s="14"/>
      <c r="D657" t="s">
        <v>2</v>
      </c>
      <c r="F657" s="7" t="s">
        <v>3</v>
      </c>
      <c r="H657" s="5"/>
      <c r="I657" s="14"/>
      <c r="J657" t="s">
        <v>2</v>
      </c>
      <c r="L657" s="7" t="s">
        <v>3</v>
      </c>
    </row>
    <row r="658" spans="2:12" x14ac:dyDescent="0.25">
      <c r="B658" s="5"/>
      <c r="C658" s="14" t="s">
        <v>4</v>
      </c>
      <c r="D658">
        <v>4563.2579999999998</v>
      </c>
      <c r="F658" s="15">
        <v>4.7E-2</v>
      </c>
      <c r="H658" s="5"/>
      <c r="I658" s="14" t="s">
        <v>4</v>
      </c>
      <c r="J658">
        <v>4593.4638999999997</v>
      </c>
      <c r="L658" s="15">
        <v>4.725E-2</v>
      </c>
    </row>
    <row r="659" spans="2:12" x14ac:dyDescent="0.25">
      <c r="B659" s="5"/>
      <c r="C659" s="14" t="s">
        <v>5</v>
      </c>
      <c r="D659">
        <v>1024.347</v>
      </c>
      <c r="F659" s="15">
        <v>9.4E-2</v>
      </c>
      <c r="H659" s="5"/>
      <c r="I659" s="14" t="s">
        <v>5</v>
      </c>
      <c r="J659">
        <v>1032.0002999999999</v>
      </c>
      <c r="L659" s="15">
        <v>9.4839999999999994E-2</v>
      </c>
    </row>
    <row r="660" spans="2:12" ht="15.75" thickBot="1" x14ac:dyDescent="0.3">
      <c r="B660" s="5"/>
      <c r="C660" s="16" t="s">
        <v>6</v>
      </c>
      <c r="D660">
        <v>1105.587</v>
      </c>
      <c r="E660" s="17"/>
      <c r="F660" s="18">
        <v>0.14799999999999999</v>
      </c>
      <c r="H660" s="5"/>
      <c r="I660" s="16" t="s">
        <v>6</v>
      </c>
      <c r="J660">
        <v>1112.8271</v>
      </c>
      <c r="K660" s="17"/>
      <c r="L660" s="18">
        <v>0.14896000000000001</v>
      </c>
    </row>
    <row r="661" spans="2:12" ht="15.75" thickBot="1" x14ac:dyDescent="0.3">
      <c r="B661" s="5"/>
      <c r="D661" s="19">
        <v>6693.192</v>
      </c>
      <c r="F661" s="19">
        <v>0.2467</v>
      </c>
      <c r="H661" s="5"/>
      <c r="J661" s="19"/>
      <c r="L661" s="19"/>
    </row>
    <row r="662" spans="2:12" x14ac:dyDescent="0.25">
      <c r="B662" s="5"/>
      <c r="C662" s="8" t="s">
        <v>7</v>
      </c>
      <c r="D662" s="12"/>
      <c r="E662" s="9"/>
      <c r="F662" s="10"/>
      <c r="H662" s="5"/>
      <c r="I662" s="8" t="s">
        <v>7</v>
      </c>
      <c r="J662" s="12"/>
      <c r="K662" s="9"/>
      <c r="L662" s="10"/>
    </row>
    <row r="663" spans="2:12" x14ac:dyDescent="0.25">
      <c r="B663" s="5"/>
      <c r="C663" s="11" t="s">
        <v>1</v>
      </c>
      <c r="D663" s="12"/>
      <c r="E663" s="12"/>
      <c r="F663" s="13"/>
      <c r="H663" s="5"/>
      <c r="I663" s="11" t="s">
        <v>1</v>
      </c>
      <c r="J663" s="12"/>
      <c r="K663" s="12"/>
      <c r="L663" s="13"/>
    </row>
    <row r="664" spans="2:12" x14ac:dyDescent="0.25">
      <c r="B664" s="5"/>
      <c r="C664" s="14"/>
      <c r="D664" t="s">
        <v>2</v>
      </c>
      <c r="F664" s="7" t="s">
        <v>3</v>
      </c>
      <c r="H664" s="5"/>
      <c r="I664" s="14"/>
      <c r="J664" t="s">
        <v>2</v>
      </c>
      <c r="L664" s="7" t="s">
        <v>3</v>
      </c>
    </row>
    <row r="665" spans="2:12" x14ac:dyDescent="0.25">
      <c r="B665" s="5"/>
      <c r="C665" s="14" t="s">
        <v>4</v>
      </c>
      <c r="D665">
        <v>1009.256</v>
      </c>
      <c r="F665" s="20">
        <v>2678.241</v>
      </c>
      <c r="H665" s="5"/>
      <c r="I665" s="14" t="s">
        <v>4</v>
      </c>
      <c r="J665">
        <v>1018.0651</v>
      </c>
      <c r="L665" s="20">
        <v>2706.6084000000001</v>
      </c>
    </row>
    <row r="666" spans="2:12" x14ac:dyDescent="0.25">
      <c r="B666" s="5"/>
      <c r="C666" s="14" t="s">
        <v>5</v>
      </c>
      <c r="D666">
        <v>541.23800000000006</v>
      </c>
      <c r="F666" s="21">
        <v>916.25699999999995</v>
      </c>
      <c r="H666" s="5"/>
      <c r="I666" s="14" t="s">
        <v>5</v>
      </c>
      <c r="J666">
        <v>547.11559999999997</v>
      </c>
      <c r="L666" s="21">
        <v>923.95050000000003</v>
      </c>
    </row>
    <row r="667" spans="2:12" ht="15.75" thickBot="1" x14ac:dyDescent="0.3">
      <c r="B667" s="5"/>
      <c r="C667" s="16" t="s">
        <v>6</v>
      </c>
      <c r="D667">
        <v>679.74099999999999</v>
      </c>
      <c r="E667" s="17"/>
      <c r="F667" s="21">
        <v>1199.568</v>
      </c>
      <c r="H667" s="5"/>
      <c r="I667" s="16" t="s">
        <v>6</v>
      </c>
      <c r="J667">
        <v>685.58950000000004</v>
      </c>
      <c r="K667" s="17"/>
      <c r="L667" s="21">
        <v>1202.4299000000001</v>
      </c>
    </row>
    <row r="668" spans="2:12" ht="15.75" thickBot="1" x14ac:dyDescent="0.3">
      <c r="B668" s="5"/>
      <c r="D668" s="19">
        <v>2230.2350000000001</v>
      </c>
      <c r="F668" s="19">
        <v>4794.0659999999998</v>
      </c>
      <c r="H668" s="5"/>
      <c r="J668" s="19"/>
      <c r="L668" s="19"/>
    </row>
    <row r="669" spans="2:12" x14ac:dyDescent="0.25">
      <c r="B669" s="22" t="s">
        <v>8</v>
      </c>
      <c r="C669" s="23"/>
      <c r="D669" s="23"/>
      <c r="E669" s="23"/>
      <c r="F669" s="7"/>
      <c r="H669" s="22" t="s">
        <v>8</v>
      </c>
      <c r="I669" s="23"/>
      <c r="J669" s="23"/>
      <c r="K669" s="23"/>
      <c r="L669" s="7"/>
    </row>
    <row r="670" spans="2:12" ht="15.75" thickBot="1" x14ac:dyDescent="0.3">
      <c r="B670" s="24" t="s">
        <v>9</v>
      </c>
      <c r="C670" s="25"/>
      <c r="D670" s="25"/>
      <c r="E670" s="25"/>
      <c r="F670" s="26"/>
      <c r="H670" s="24" t="s">
        <v>9</v>
      </c>
      <c r="I670" s="25"/>
      <c r="J670" s="25"/>
      <c r="K670" s="25"/>
      <c r="L670" s="26"/>
    </row>
    <row r="671" spans="2:12" x14ac:dyDescent="0.25">
      <c r="B671" s="27" t="s">
        <v>10</v>
      </c>
      <c r="C671" s="27"/>
      <c r="D671" s="27"/>
      <c r="E671" s="27"/>
      <c r="H671" s="27" t="s">
        <v>10</v>
      </c>
      <c r="I671" s="27"/>
      <c r="J671" s="27"/>
      <c r="K671" s="27"/>
    </row>
    <row r="673" spans="2:12" ht="15.75" thickBot="1" x14ac:dyDescent="0.3"/>
    <row r="674" spans="2:12" x14ac:dyDescent="0.25">
      <c r="B674" s="1"/>
      <c r="C674" s="2"/>
      <c r="D674" s="3">
        <v>45306</v>
      </c>
      <c r="E674" s="2"/>
      <c r="F674" s="4"/>
      <c r="H674" s="1"/>
      <c r="I674" s="2"/>
      <c r="J674" s="3">
        <v>45313</v>
      </c>
      <c r="K674" s="2"/>
      <c r="L674" s="4"/>
    </row>
    <row r="675" spans="2:12" x14ac:dyDescent="0.25">
      <c r="B675" s="5"/>
      <c r="D675" s="6"/>
      <c r="F675" s="7"/>
      <c r="H675" s="5"/>
      <c r="J675" s="6"/>
      <c r="L675" s="7"/>
    </row>
    <row r="676" spans="2:12" x14ac:dyDescent="0.25">
      <c r="B676" s="5"/>
      <c r="C676" s="8" t="s">
        <v>0</v>
      </c>
      <c r="D676" s="9"/>
      <c r="E676" s="9"/>
      <c r="F676" s="10"/>
      <c r="H676" s="5"/>
      <c r="I676" s="8" t="s">
        <v>0</v>
      </c>
      <c r="J676" s="9"/>
      <c r="K676" s="9"/>
      <c r="L676" s="10"/>
    </row>
    <row r="677" spans="2:12" x14ac:dyDescent="0.25">
      <c r="B677" s="5"/>
      <c r="C677" s="11" t="s">
        <v>1</v>
      </c>
      <c r="D677" s="12"/>
      <c r="E677" s="12"/>
      <c r="F677" s="13"/>
      <c r="H677" s="5"/>
      <c r="I677" s="11" t="s">
        <v>1</v>
      </c>
      <c r="J677" s="12"/>
      <c r="K677" s="12"/>
      <c r="L677" s="13"/>
    </row>
    <row r="678" spans="2:12" x14ac:dyDescent="0.25">
      <c r="B678" s="5"/>
      <c r="C678" s="14"/>
      <c r="D678" t="s">
        <v>2</v>
      </c>
      <c r="F678" s="7" t="s">
        <v>3</v>
      </c>
      <c r="H678" s="5"/>
      <c r="I678" s="14"/>
      <c r="J678" t="s">
        <v>2</v>
      </c>
      <c r="L678" s="7" t="s">
        <v>3</v>
      </c>
    </row>
    <row r="679" spans="2:12" x14ac:dyDescent="0.25">
      <c r="B679" s="5"/>
      <c r="C679" s="14" t="s">
        <v>4</v>
      </c>
      <c r="D679">
        <v>4623.6697999999997</v>
      </c>
      <c r="F679" s="15">
        <v>4.7500000000000001E-2</v>
      </c>
      <c r="H679" s="5"/>
      <c r="I679" s="14" t="s">
        <v>4</v>
      </c>
      <c r="J679">
        <v>4653.8756999999996</v>
      </c>
      <c r="L679" s="15">
        <v>4.7750000000000001E-2</v>
      </c>
    </row>
    <row r="680" spans="2:12" x14ac:dyDescent="0.25">
      <c r="B680" s="5"/>
      <c r="C680" s="14" t="s">
        <v>5</v>
      </c>
      <c r="D680">
        <v>1039.6536000000001</v>
      </c>
      <c r="F680" s="15">
        <v>9.5680000000000001E-2</v>
      </c>
      <c r="H680" s="5"/>
      <c r="I680" s="14" t="s">
        <v>5</v>
      </c>
      <c r="J680">
        <v>1047.3069</v>
      </c>
      <c r="L680" s="15">
        <v>9.6519999999999995E-2</v>
      </c>
    </row>
    <row r="681" spans="2:12" ht="15.75" thickBot="1" x14ac:dyDescent="0.3">
      <c r="B681" s="5"/>
      <c r="C681" s="16" t="s">
        <v>6</v>
      </c>
      <c r="D681">
        <v>1120.0672</v>
      </c>
      <c r="E681" s="17"/>
      <c r="F681" s="18">
        <v>0.14992</v>
      </c>
      <c r="H681" s="5"/>
      <c r="I681" s="16" t="s">
        <v>6</v>
      </c>
      <c r="J681">
        <v>1127.3072999999999</v>
      </c>
      <c r="K681" s="17"/>
      <c r="L681" s="18">
        <v>0.15087999999999999</v>
      </c>
    </row>
    <row r="682" spans="2:12" ht="15.75" thickBot="1" x14ac:dyDescent="0.3">
      <c r="B682" s="5"/>
      <c r="D682" s="19"/>
      <c r="F682" s="19"/>
      <c r="H682" s="5"/>
      <c r="J682" s="19"/>
      <c r="L682" s="19"/>
    </row>
    <row r="683" spans="2:12" x14ac:dyDescent="0.25">
      <c r="B683" s="5"/>
      <c r="C683" s="8" t="s">
        <v>7</v>
      </c>
      <c r="D683" s="12"/>
      <c r="E683" s="9"/>
      <c r="F683" s="10"/>
      <c r="H683" s="5"/>
      <c r="I683" s="8" t="s">
        <v>7</v>
      </c>
      <c r="J683" s="12"/>
      <c r="K683" s="9"/>
      <c r="L683" s="10"/>
    </row>
    <row r="684" spans="2:12" x14ac:dyDescent="0.25">
      <c r="B684" s="5"/>
      <c r="C684" s="11" t="s">
        <v>1</v>
      </c>
      <c r="D684" s="12"/>
      <c r="E684" s="12"/>
      <c r="F684" s="13"/>
      <c r="H684" s="5"/>
      <c r="I684" s="11" t="s">
        <v>1</v>
      </c>
      <c r="J684" s="12"/>
      <c r="K684" s="12"/>
      <c r="L684" s="13"/>
    </row>
    <row r="685" spans="2:12" x14ac:dyDescent="0.25">
      <c r="B685" s="5"/>
      <c r="C685" s="14"/>
      <c r="D685" t="s">
        <v>2</v>
      </c>
      <c r="F685" s="7" t="s">
        <v>3</v>
      </c>
      <c r="H685" s="5"/>
      <c r="I685" s="14"/>
      <c r="J685" t="s">
        <v>2</v>
      </c>
      <c r="L685" s="7" t="s">
        <v>3</v>
      </c>
    </row>
    <row r="686" spans="2:12" x14ac:dyDescent="0.25">
      <c r="B686" s="5"/>
      <c r="C686" s="14" t="s">
        <v>4</v>
      </c>
      <c r="D686">
        <v>1026.8742</v>
      </c>
      <c r="F686" s="20">
        <v>2734.9758000000002</v>
      </c>
      <c r="H686" s="5"/>
      <c r="I686" s="14" t="s">
        <v>4</v>
      </c>
      <c r="J686">
        <v>1055.2416000000001</v>
      </c>
      <c r="L686" s="20">
        <v>2763.3474000000001</v>
      </c>
    </row>
    <row r="687" spans="2:12" x14ac:dyDescent="0.25">
      <c r="B687" s="5"/>
      <c r="C687" s="14" t="s">
        <v>5</v>
      </c>
      <c r="D687">
        <v>552.9932</v>
      </c>
      <c r="F687" s="21">
        <v>931.64400000000001</v>
      </c>
      <c r="H687" s="5"/>
      <c r="I687" s="14" t="s">
        <v>5</v>
      </c>
      <c r="J687">
        <v>560.68669999999997</v>
      </c>
      <c r="L687" s="21">
        <v>939.33749999999998</v>
      </c>
    </row>
    <row r="688" spans="2:12" ht="15.75" thickBot="1" x14ac:dyDescent="0.3">
      <c r="B688" s="5"/>
      <c r="C688" s="16" t="s">
        <v>6</v>
      </c>
      <c r="D688">
        <v>691.43799999999999</v>
      </c>
      <c r="E688" s="17"/>
      <c r="F688" s="21">
        <v>1205.2918</v>
      </c>
      <c r="H688" s="5"/>
      <c r="I688" s="16" t="s">
        <v>6</v>
      </c>
      <c r="J688">
        <v>697.28650000000005</v>
      </c>
      <c r="K688" s="17"/>
      <c r="L688" s="21">
        <v>1208.1519000000001</v>
      </c>
    </row>
    <row r="689" spans="2:12" ht="15.75" thickBot="1" x14ac:dyDescent="0.3">
      <c r="B689" s="5"/>
      <c r="D689" s="19"/>
      <c r="F689" s="19"/>
      <c r="H689" s="5"/>
      <c r="J689" s="19"/>
      <c r="L689" s="19"/>
    </row>
    <row r="690" spans="2:12" x14ac:dyDescent="0.25">
      <c r="B690" s="22" t="s">
        <v>8</v>
      </c>
      <c r="C690" s="23"/>
      <c r="D690" s="23"/>
      <c r="E690" s="23"/>
      <c r="F690" s="7"/>
      <c r="H690" s="22" t="s">
        <v>8</v>
      </c>
      <c r="I690" s="23"/>
      <c r="J690" s="23"/>
      <c r="K690" s="23"/>
      <c r="L690" s="7"/>
    </row>
    <row r="691" spans="2:12" ht="15.75" thickBot="1" x14ac:dyDescent="0.3">
      <c r="B691" s="24" t="s">
        <v>9</v>
      </c>
      <c r="C691" s="25"/>
      <c r="D691" s="25"/>
      <c r="E691" s="25"/>
      <c r="F691" s="26"/>
      <c r="H691" s="24" t="s">
        <v>9</v>
      </c>
      <c r="I691" s="25"/>
      <c r="J691" s="25"/>
      <c r="K691" s="25"/>
      <c r="L691" s="26"/>
    </row>
    <row r="692" spans="2:12" x14ac:dyDescent="0.25">
      <c r="B692" s="27" t="s">
        <v>10</v>
      </c>
      <c r="C692" s="27"/>
      <c r="D692" s="27"/>
      <c r="E692" s="27"/>
      <c r="H692" s="27" t="s">
        <v>10</v>
      </c>
      <c r="I692" s="27"/>
      <c r="J692" s="27"/>
      <c r="K692" s="27"/>
    </row>
    <row r="694" spans="2:12" ht="15.75" thickBot="1" x14ac:dyDescent="0.3"/>
    <row r="695" spans="2:12" x14ac:dyDescent="0.25">
      <c r="B695" s="1"/>
      <c r="C695" s="2"/>
      <c r="D695" s="3">
        <v>45320</v>
      </c>
      <c r="E695" s="2"/>
      <c r="F695" s="4"/>
      <c r="H695" s="1"/>
      <c r="I695" s="2"/>
      <c r="J695" s="3">
        <v>45327</v>
      </c>
      <c r="K695" s="2"/>
      <c r="L695" s="4"/>
    </row>
    <row r="696" spans="2:12" x14ac:dyDescent="0.25">
      <c r="B696" s="5"/>
      <c r="D696" s="6"/>
      <c r="F696" s="7"/>
      <c r="H696" s="5"/>
      <c r="J696" s="6"/>
      <c r="L696" s="7"/>
    </row>
    <row r="697" spans="2:12" x14ac:dyDescent="0.25">
      <c r="B697" s="5"/>
      <c r="C697" s="8" t="s">
        <v>0</v>
      </c>
      <c r="D697" s="9"/>
      <c r="E697" s="9"/>
      <c r="F697" s="10"/>
      <c r="H697" s="5"/>
      <c r="I697" s="8" t="s">
        <v>0</v>
      </c>
      <c r="J697" s="9"/>
      <c r="K697" s="9"/>
      <c r="L697" s="10"/>
    </row>
    <row r="698" spans="2:12" x14ac:dyDescent="0.25">
      <c r="B698" s="5"/>
      <c r="C698" s="11" t="s">
        <v>1</v>
      </c>
      <c r="D698" s="12"/>
      <c r="E698" s="12"/>
      <c r="F698" s="13"/>
      <c r="H698" s="5"/>
      <c r="I698" s="11" t="s">
        <v>1</v>
      </c>
      <c r="J698" s="12"/>
      <c r="K698" s="12"/>
      <c r="L698" s="13"/>
    </row>
    <row r="699" spans="2:12" x14ac:dyDescent="0.25">
      <c r="B699" s="5"/>
      <c r="C699" s="14"/>
      <c r="D699" t="s">
        <v>2</v>
      </c>
      <c r="F699" s="7" t="s">
        <v>3</v>
      </c>
      <c r="H699" s="5"/>
      <c r="I699" s="14"/>
      <c r="J699" t="s">
        <v>2</v>
      </c>
      <c r="L699" s="7" t="s">
        <v>3</v>
      </c>
    </row>
    <row r="700" spans="2:12" x14ac:dyDescent="0.25">
      <c r="B700" s="5"/>
      <c r="C700" s="14" t="s">
        <v>4</v>
      </c>
      <c r="D700">
        <v>4684.0816000000004</v>
      </c>
      <c r="F700" s="15">
        <v>4.8000000000000001E-2</v>
      </c>
      <c r="H700" s="5"/>
      <c r="I700" s="14" t="s">
        <v>4</v>
      </c>
      <c r="J700">
        <v>4714.2875000000004</v>
      </c>
      <c r="L700" s="15">
        <v>4.8250000000000001E-2</v>
      </c>
    </row>
    <row r="701" spans="2:12" x14ac:dyDescent="0.25">
      <c r="B701" s="5"/>
      <c r="C701" s="14" t="s">
        <v>5</v>
      </c>
      <c r="D701">
        <v>1054.9602</v>
      </c>
      <c r="F701" s="15">
        <v>9.7360000000000002E-2</v>
      </c>
      <c r="H701" s="5"/>
      <c r="I701" s="14" t="s">
        <v>5</v>
      </c>
      <c r="J701">
        <v>1062.6134999999999</v>
      </c>
      <c r="L701" s="15">
        <v>9.8199999999999996E-2</v>
      </c>
    </row>
    <row r="702" spans="2:12" ht="15.75" thickBot="1" x14ac:dyDescent="0.3">
      <c r="B702" s="5"/>
      <c r="C702" s="16" t="s">
        <v>6</v>
      </c>
      <c r="D702">
        <v>1134.5473999999999</v>
      </c>
      <c r="E702" s="17"/>
      <c r="F702" s="18">
        <v>0.15184</v>
      </c>
      <c r="H702" s="5"/>
      <c r="I702" s="16" t="s">
        <v>6</v>
      </c>
      <c r="J702">
        <v>1141.7874999999999</v>
      </c>
      <c r="K702" s="17"/>
      <c r="L702" s="18">
        <v>0.15279999999999999</v>
      </c>
    </row>
    <row r="703" spans="2:12" ht="15.75" thickBot="1" x14ac:dyDescent="0.3">
      <c r="B703" s="5"/>
      <c r="D703" s="19"/>
      <c r="F703" s="19"/>
      <c r="H703" s="5"/>
      <c r="J703" s="19"/>
      <c r="L703" s="19"/>
    </row>
    <row r="704" spans="2:12" x14ac:dyDescent="0.25">
      <c r="B704" s="5"/>
      <c r="C704" s="8" t="s">
        <v>7</v>
      </c>
      <c r="D704" s="12"/>
      <c r="E704" s="9"/>
      <c r="F704" s="10"/>
      <c r="H704" s="5"/>
      <c r="I704" s="8" t="s">
        <v>7</v>
      </c>
      <c r="J704" s="12"/>
      <c r="K704" s="9"/>
      <c r="L704" s="10"/>
    </row>
    <row r="705" spans="2:12" x14ac:dyDescent="0.25">
      <c r="B705" s="5"/>
      <c r="C705" s="11" t="s">
        <v>1</v>
      </c>
      <c r="D705" s="12"/>
      <c r="E705" s="12"/>
      <c r="F705" s="13"/>
      <c r="H705" s="5"/>
      <c r="I705" s="11" t="s">
        <v>1</v>
      </c>
      <c r="J705" s="12"/>
      <c r="K705" s="12"/>
      <c r="L705" s="13"/>
    </row>
    <row r="706" spans="2:12" x14ac:dyDescent="0.25">
      <c r="B706" s="5"/>
      <c r="C706" s="14"/>
      <c r="D706" t="s">
        <v>2</v>
      </c>
      <c r="F706" s="7" t="s">
        <v>3</v>
      </c>
      <c r="H706" s="5"/>
      <c r="I706" s="14"/>
      <c r="J706" t="s">
        <v>2</v>
      </c>
      <c r="L706" s="7" t="s">
        <v>3</v>
      </c>
    </row>
    <row r="707" spans="2:12" x14ac:dyDescent="0.25">
      <c r="B707" s="5"/>
      <c r="C707" s="14" t="s">
        <v>4</v>
      </c>
      <c r="D707">
        <v>1064.0507</v>
      </c>
      <c r="F707" s="20">
        <v>2791.7148000000002</v>
      </c>
      <c r="H707" s="5"/>
      <c r="I707" s="14" t="s">
        <v>4</v>
      </c>
      <c r="J707">
        <v>1072.8598</v>
      </c>
      <c r="L707" s="20">
        <v>2820.0823999999998</v>
      </c>
    </row>
    <row r="708" spans="2:12" x14ac:dyDescent="0.25">
      <c r="B708" s="5"/>
      <c r="C708" s="14" t="s">
        <v>5</v>
      </c>
      <c r="D708">
        <v>566.5643</v>
      </c>
      <c r="F708" s="21">
        <v>947.03099999999995</v>
      </c>
      <c r="H708" s="5"/>
      <c r="I708" s="14" t="s">
        <v>5</v>
      </c>
      <c r="J708">
        <v>572.44190000000003</v>
      </c>
      <c r="L708" s="21">
        <v>954.72450000000003</v>
      </c>
    </row>
    <row r="709" spans="2:12" ht="15.75" thickBot="1" x14ac:dyDescent="0.3">
      <c r="B709" s="5"/>
      <c r="C709" s="16" t="s">
        <v>6</v>
      </c>
      <c r="D709">
        <v>703.13499999999999</v>
      </c>
      <c r="E709" s="17"/>
      <c r="F709" s="21">
        <v>1211.0137999999999</v>
      </c>
      <c r="H709" s="5"/>
      <c r="I709" s="16" t="s">
        <v>6</v>
      </c>
      <c r="J709">
        <v>708.98350000000005</v>
      </c>
      <c r="K709" s="17"/>
      <c r="L709" s="21">
        <v>1213.8759</v>
      </c>
    </row>
    <row r="710" spans="2:12" ht="15.75" thickBot="1" x14ac:dyDescent="0.3">
      <c r="B710" s="5"/>
      <c r="D710" s="19">
        <f>SUM(D707:D709)</f>
        <v>2333.75</v>
      </c>
      <c r="F710" s="19">
        <f>SUM(F707:F709)</f>
        <v>4949.7596000000003</v>
      </c>
      <c r="H710" s="5"/>
      <c r="J710" s="19"/>
      <c r="L710" s="19"/>
    </row>
    <row r="711" spans="2:12" x14ac:dyDescent="0.25">
      <c r="B711" s="22" t="s">
        <v>8</v>
      </c>
      <c r="C711" s="23"/>
      <c r="D711" s="23"/>
      <c r="E711" s="23"/>
      <c r="F711" s="7"/>
      <c r="H711" s="22" t="s">
        <v>8</v>
      </c>
      <c r="I711" s="23"/>
      <c r="J711" s="23"/>
      <c r="K711" s="23"/>
      <c r="L711" s="7"/>
    </row>
    <row r="712" spans="2:12" ht="15.75" thickBot="1" x14ac:dyDescent="0.3">
      <c r="B712" s="24" t="s">
        <v>9</v>
      </c>
      <c r="C712" s="25"/>
      <c r="D712" s="25"/>
      <c r="E712" s="25"/>
      <c r="F712" s="26"/>
      <c r="H712" s="24" t="s">
        <v>9</v>
      </c>
      <c r="I712" s="25"/>
      <c r="J712" s="25"/>
      <c r="K712" s="25"/>
      <c r="L712" s="26"/>
    </row>
    <row r="713" spans="2:12" x14ac:dyDescent="0.25">
      <c r="B713" s="27" t="s">
        <v>10</v>
      </c>
      <c r="C713" s="27"/>
      <c r="D713" s="27"/>
      <c r="E713" s="27"/>
      <c r="H713" s="27" t="s">
        <v>10</v>
      </c>
      <c r="I713" s="27"/>
      <c r="J713" s="27"/>
      <c r="K713" s="27"/>
    </row>
    <row r="716" spans="2:12" ht="15.75" thickBot="1" x14ac:dyDescent="0.3"/>
    <row r="717" spans="2:12" x14ac:dyDescent="0.25">
      <c r="B717" s="1"/>
      <c r="C717" s="2"/>
      <c r="D717" s="3">
        <v>45334</v>
      </c>
      <c r="E717" s="2"/>
      <c r="F717" s="4"/>
      <c r="H717" s="1"/>
      <c r="I717" s="2"/>
      <c r="J717" s="3">
        <v>45341</v>
      </c>
      <c r="K717" s="2"/>
      <c r="L717" s="4"/>
    </row>
    <row r="718" spans="2:12" x14ac:dyDescent="0.25">
      <c r="B718" s="5"/>
      <c r="D718" s="6"/>
      <c r="F718" s="7"/>
      <c r="H718" s="5"/>
      <c r="J718" s="6"/>
      <c r="L718" s="7"/>
    </row>
    <row r="719" spans="2:12" x14ac:dyDescent="0.25">
      <c r="B719" s="5"/>
      <c r="C719" s="8" t="s">
        <v>0</v>
      </c>
      <c r="D719" s="9"/>
      <c r="E719" s="9"/>
      <c r="F719" s="10"/>
      <c r="H719" s="5"/>
      <c r="I719" s="8" t="s">
        <v>0</v>
      </c>
      <c r="J719" s="9"/>
      <c r="K719" s="9"/>
      <c r="L719" s="10"/>
    </row>
    <row r="720" spans="2:12" x14ac:dyDescent="0.25">
      <c r="B720" s="5"/>
      <c r="C720" s="11" t="s">
        <v>1</v>
      </c>
      <c r="D720" s="12"/>
      <c r="E720" s="12"/>
      <c r="F720" s="13"/>
      <c r="H720" s="5"/>
      <c r="I720" s="11" t="s">
        <v>1</v>
      </c>
      <c r="J720" s="12"/>
      <c r="K720" s="12"/>
      <c r="L720" s="13"/>
    </row>
    <row r="721" spans="2:12" x14ac:dyDescent="0.25">
      <c r="B721" s="5"/>
      <c r="C721" s="14"/>
      <c r="D721" t="s">
        <v>2</v>
      </c>
      <c r="F721" s="7" t="s">
        <v>3</v>
      </c>
      <c r="H721" s="5"/>
      <c r="I721" s="14"/>
      <c r="J721" t="s">
        <v>2</v>
      </c>
      <c r="L721" s="7" t="s">
        <v>3</v>
      </c>
    </row>
    <row r="722" spans="2:12" x14ac:dyDescent="0.25">
      <c r="B722" s="5"/>
      <c r="C722" s="14" t="s">
        <v>4</v>
      </c>
      <c r="D722">
        <v>4744.4934000000003</v>
      </c>
      <c r="F722" s="15">
        <v>4.8500000000000001E-2</v>
      </c>
      <c r="H722" s="5"/>
      <c r="I722" s="14" t="s">
        <v>4</v>
      </c>
      <c r="J722">
        <v>4774.6993000000002</v>
      </c>
      <c r="L722" s="15">
        <v>4.8750000000000002E-2</v>
      </c>
    </row>
    <row r="723" spans="2:12" x14ac:dyDescent="0.25">
      <c r="B723" s="5"/>
      <c r="C723" s="14" t="s">
        <v>5</v>
      </c>
      <c r="D723">
        <v>1070.2668000000001</v>
      </c>
      <c r="F723" s="15">
        <v>9.9040000000000003E-2</v>
      </c>
      <c r="H723" s="5"/>
      <c r="I723" s="14" t="s">
        <v>5</v>
      </c>
      <c r="J723">
        <v>1077.9201</v>
      </c>
      <c r="L723" s="15">
        <v>9.9879999999999997E-2</v>
      </c>
    </row>
    <row r="724" spans="2:12" ht="15.75" thickBot="1" x14ac:dyDescent="0.3">
      <c r="B724" s="5"/>
      <c r="C724" s="16" t="s">
        <v>6</v>
      </c>
      <c r="D724">
        <v>1149.0275999999999</v>
      </c>
      <c r="E724" s="17"/>
      <c r="F724" s="18">
        <v>0.15376000000000001</v>
      </c>
      <c r="H724" s="5"/>
      <c r="I724" s="16" t="s">
        <v>6</v>
      </c>
      <c r="J724">
        <v>1156.2677000000001</v>
      </c>
      <c r="K724" s="17"/>
      <c r="L724" s="18">
        <v>0.15472</v>
      </c>
    </row>
    <row r="725" spans="2:12" ht="15.75" thickBot="1" x14ac:dyDescent="0.3">
      <c r="B725" s="5"/>
      <c r="D725" s="19"/>
      <c r="F725" s="19"/>
      <c r="H725" s="5"/>
      <c r="J725" s="19"/>
      <c r="L725" s="19"/>
    </row>
    <row r="726" spans="2:12" x14ac:dyDescent="0.25">
      <c r="B726" s="5"/>
      <c r="C726" s="8" t="s">
        <v>7</v>
      </c>
      <c r="D726" s="12"/>
      <c r="E726" s="9"/>
      <c r="F726" s="10"/>
      <c r="H726" s="5"/>
      <c r="I726" s="8" t="s">
        <v>7</v>
      </c>
      <c r="J726" s="12"/>
      <c r="K726" s="9"/>
      <c r="L726" s="10"/>
    </row>
    <row r="727" spans="2:12" x14ac:dyDescent="0.25">
      <c r="B727" s="5"/>
      <c r="C727" s="11" t="s">
        <v>1</v>
      </c>
      <c r="D727" s="12"/>
      <c r="E727" s="12"/>
      <c r="F727" s="13"/>
      <c r="H727" s="5"/>
      <c r="I727" s="11" t="s">
        <v>1</v>
      </c>
      <c r="J727" s="12"/>
      <c r="K727" s="12"/>
      <c r="L727" s="13"/>
    </row>
    <row r="728" spans="2:12" x14ac:dyDescent="0.25">
      <c r="B728" s="5"/>
      <c r="C728" s="14"/>
      <c r="D728" t="s">
        <v>2</v>
      </c>
      <c r="F728" s="7" t="s">
        <v>3</v>
      </c>
      <c r="H728" s="5"/>
      <c r="I728" s="14"/>
      <c r="J728" t="s">
        <v>2</v>
      </c>
      <c r="L728" s="7" t="s">
        <v>3</v>
      </c>
    </row>
    <row r="729" spans="2:12" x14ac:dyDescent="0.25">
      <c r="B729" s="5"/>
      <c r="C729" s="14" t="s">
        <v>4</v>
      </c>
      <c r="D729">
        <v>1081.6688999999999</v>
      </c>
      <c r="F729" s="20">
        <v>2848.4497999999999</v>
      </c>
      <c r="H729" s="5"/>
      <c r="I729" s="14" t="s">
        <v>4</v>
      </c>
      <c r="J729">
        <v>1090.4780000000001</v>
      </c>
      <c r="L729" s="20">
        <v>2876.8173999999999</v>
      </c>
    </row>
    <row r="730" spans="2:12" x14ac:dyDescent="0.25">
      <c r="B730" s="5"/>
      <c r="C730" s="14" t="s">
        <v>5</v>
      </c>
      <c r="D730">
        <v>578.31949999999995</v>
      </c>
      <c r="F730" s="21">
        <v>962.41800000000001</v>
      </c>
      <c r="H730" s="5"/>
      <c r="I730" s="14" t="s">
        <v>5</v>
      </c>
      <c r="J730">
        <v>584.19709999999998</v>
      </c>
      <c r="L730" s="21">
        <v>970.11149999999998</v>
      </c>
    </row>
    <row r="731" spans="2:12" ht="15.75" thickBot="1" x14ac:dyDescent="0.3">
      <c r="B731" s="5"/>
      <c r="C731" s="16" t="s">
        <v>6</v>
      </c>
      <c r="D731">
        <v>714.83199999999999</v>
      </c>
      <c r="E731" s="17"/>
      <c r="F731" s="21">
        <v>1216.7378000000001</v>
      </c>
      <c r="H731" s="5"/>
      <c r="I731" s="16" t="s">
        <v>6</v>
      </c>
      <c r="J731">
        <v>720.68050000000005</v>
      </c>
      <c r="K731" s="17"/>
      <c r="L731" s="21">
        <v>1219.5998999999999</v>
      </c>
    </row>
    <row r="732" spans="2:12" ht="15.75" thickBot="1" x14ac:dyDescent="0.3">
      <c r="B732" s="5"/>
      <c r="D732" s="19"/>
      <c r="F732" s="19"/>
      <c r="H732" s="5"/>
      <c r="J732" s="19"/>
      <c r="L732" s="19"/>
    </row>
    <row r="733" spans="2:12" x14ac:dyDescent="0.25">
      <c r="B733" s="22" t="s">
        <v>8</v>
      </c>
      <c r="C733" s="23"/>
      <c r="D733" s="23"/>
      <c r="E733" s="23"/>
      <c r="F733" s="7"/>
      <c r="H733" s="22" t="s">
        <v>8</v>
      </c>
      <c r="I733" s="23"/>
      <c r="J733" s="23"/>
      <c r="K733" s="23"/>
      <c r="L733" s="7"/>
    </row>
    <row r="734" spans="2:12" ht="15.75" thickBot="1" x14ac:dyDescent="0.3">
      <c r="B734" s="24" t="s">
        <v>9</v>
      </c>
      <c r="C734" s="25"/>
      <c r="D734" s="25"/>
      <c r="E734" s="25"/>
      <c r="F734" s="26"/>
      <c r="H734" s="24" t="s">
        <v>9</v>
      </c>
      <c r="I734" s="25"/>
      <c r="J734" s="25"/>
      <c r="K734" s="25"/>
      <c r="L734" s="26"/>
    </row>
    <row r="735" spans="2:12" x14ac:dyDescent="0.25">
      <c r="B735" s="27" t="s">
        <v>10</v>
      </c>
      <c r="C735" s="27"/>
      <c r="D735" s="27"/>
      <c r="E735" s="27"/>
      <c r="H735" s="27" t="s">
        <v>10</v>
      </c>
      <c r="I735" s="27"/>
      <c r="J735" s="27"/>
      <c r="K735" s="27"/>
    </row>
    <row r="738" spans="2:12" ht="15.75" thickBot="1" x14ac:dyDescent="0.3"/>
    <row r="739" spans="2:12" x14ac:dyDescent="0.25">
      <c r="B739" s="1"/>
      <c r="C739" s="2"/>
      <c r="D739" s="3">
        <v>45348</v>
      </c>
      <c r="E739" s="2"/>
      <c r="F739" s="4"/>
      <c r="H739" s="1"/>
      <c r="I739" s="2"/>
      <c r="J739" s="3">
        <v>45355</v>
      </c>
      <c r="K739" s="2"/>
      <c r="L739" s="4"/>
    </row>
    <row r="740" spans="2:12" x14ac:dyDescent="0.25">
      <c r="B740" s="5"/>
      <c r="D740" s="6"/>
      <c r="F740" s="7"/>
      <c r="H740" s="5"/>
      <c r="J740" s="6"/>
      <c r="L740" s="7"/>
    </row>
    <row r="741" spans="2:12" x14ac:dyDescent="0.25">
      <c r="B741" s="5"/>
      <c r="C741" s="8" t="s">
        <v>0</v>
      </c>
      <c r="D741" s="9"/>
      <c r="E741" s="9"/>
      <c r="F741" s="10"/>
      <c r="H741" s="5"/>
      <c r="I741" s="8" t="s">
        <v>0</v>
      </c>
      <c r="J741" s="9"/>
      <c r="K741" s="9"/>
      <c r="L741" s="10"/>
    </row>
    <row r="742" spans="2:12" x14ac:dyDescent="0.25">
      <c r="B742" s="5"/>
      <c r="C742" s="11" t="s">
        <v>1</v>
      </c>
      <c r="D742" s="12"/>
      <c r="E742" s="12"/>
      <c r="F742" s="13"/>
      <c r="H742" s="5"/>
      <c r="I742" s="11" t="s">
        <v>1</v>
      </c>
      <c r="J742" s="12"/>
      <c r="K742" s="12"/>
      <c r="L742" s="13"/>
    </row>
    <row r="743" spans="2:12" x14ac:dyDescent="0.25">
      <c r="B743" s="5"/>
      <c r="C743" s="14"/>
      <c r="D743" t="s">
        <v>2</v>
      </c>
      <c r="F743" s="7" t="s">
        <v>3</v>
      </c>
      <c r="H743" s="5"/>
      <c r="I743" s="14"/>
      <c r="J743" t="s">
        <v>2</v>
      </c>
      <c r="L743" s="7" t="s">
        <v>3</v>
      </c>
    </row>
    <row r="744" spans="2:12" x14ac:dyDescent="0.25">
      <c r="B744" s="5"/>
      <c r="C744" s="14" t="s">
        <v>4</v>
      </c>
      <c r="D744">
        <v>4804.9052000000001</v>
      </c>
      <c r="F744" s="15">
        <v>4.9000000000000002E-2</v>
      </c>
      <c r="H744" s="5"/>
      <c r="I744" s="14" t="s">
        <v>4</v>
      </c>
      <c r="J744">
        <v>4835.1111000000001</v>
      </c>
      <c r="L744" s="15">
        <v>4.9250000000000002E-2</v>
      </c>
    </row>
    <row r="745" spans="2:12" x14ac:dyDescent="0.25">
      <c r="B745" s="5"/>
      <c r="C745" s="14" t="s">
        <v>5</v>
      </c>
      <c r="D745">
        <v>1085.5734</v>
      </c>
      <c r="F745" s="15">
        <v>0.10072</v>
      </c>
      <c r="H745" s="5"/>
      <c r="I745" s="14" t="s">
        <v>5</v>
      </c>
      <c r="J745">
        <v>1093.2266999999999</v>
      </c>
      <c r="L745" s="15">
        <v>0.10156</v>
      </c>
    </row>
    <row r="746" spans="2:12" ht="15.75" thickBot="1" x14ac:dyDescent="0.3">
      <c r="B746" s="5"/>
      <c r="C746" s="16" t="s">
        <v>6</v>
      </c>
      <c r="D746">
        <v>1163.5078000000001</v>
      </c>
      <c r="E746" s="17"/>
      <c r="F746" s="18">
        <v>0.15568000000000001</v>
      </c>
      <c r="H746" s="5"/>
      <c r="I746" s="16" t="s">
        <v>6</v>
      </c>
      <c r="J746">
        <v>1170.7479000000001</v>
      </c>
      <c r="K746" s="17"/>
      <c r="L746" s="18">
        <v>0.15664</v>
      </c>
    </row>
    <row r="747" spans="2:12" ht="15.75" thickBot="1" x14ac:dyDescent="0.3">
      <c r="B747" s="5"/>
      <c r="D747" s="19"/>
      <c r="F747" s="19"/>
      <c r="H747" s="5"/>
      <c r="J747" s="19"/>
      <c r="L747" s="19"/>
    </row>
    <row r="748" spans="2:12" x14ac:dyDescent="0.25">
      <c r="B748" s="5"/>
      <c r="C748" s="8" t="s">
        <v>7</v>
      </c>
      <c r="D748" s="12"/>
      <c r="E748" s="9"/>
      <c r="F748" s="10"/>
      <c r="H748" s="5"/>
      <c r="I748" s="8" t="s">
        <v>7</v>
      </c>
      <c r="J748" s="12"/>
      <c r="K748" s="9"/>
      <c r="L748" s="10"/>
    </row>
    <row r="749" spans="2:12" x14ac:dyDescent="0.25">
      <c r="B749" s="5"/>
      <c r="C749" s="11" t="s">
        <v>1</v>
      </c>
      <c r="D749" s="12"/>
      <c r="E749" s="12"/>
      <c r="F749" s="13"/>
      <c r="H749" s="5"/>
      <c r="I749" s="11" t="s">
        <v>1</v>
      </c>
      <c r="J749" s="12"/>
      <c r="K749" s="12"/>
      <c r="L749" s="13"/>
    </row>
    <row r="750" spans="2:12" x14ac:dyDescent="0.25">
      <c r="B750" s="5"/>
      <c r="C750" s="14"/>
      <c r="D750" t="s">
        <v>2</v>
      </c>
      <c r="F750" s="7" t="s">
        <v>3</v>
      </c>
      <c r="H750" s="5"/>
      <c r="I750" s="14"/>
      <c r="J750" t="s">
        <v>2</v>
      </c>
      <c r="L750" s="7" t="s">
        <v>3</v>
      </c>
    </row>
    <row r="751" spans="2:12" x14ac:dyDescent="0.25">
      <c r="B751" s="5"/>
      <c r="C751" s="14" t="s">
        <v>4</v>
      </c>
      <c r="D751">
        <v>1099.2871</v>
      </c>
      <c r="F751" s="20">
        <v>2905.1848</v>
      </c>
      <c r="H751" s="5"/>
      <c r="I751" s="14" t="s">
        <v>4</v>
      </c>
      <c r="J751">
        <v>1108.0962</v>
      </c>
      <c r="L751" s="20">
        <v>2933.5524</v>
      </c>
    </row>
    <row r="752" spans="2:12" x14ac:dyDescent="0.25">
      <c r="B752" s="5"/>
      <c r="C752" s="14" t="s">
        <v>5</v>
      </c>
      <c r="D752">
        <v>590.07470000000001</v>
      </c>
      <c r="F752" s="21">
        <v>977.80499999999995</v>
      </c>
      <c r="H752" s="5"/>
      <c r="I752" s="14" t="s">
        <v>5</v>
      </c>
      <c r="J752">
        <v>595.95230000000004</v>
      </c>
      <c r="L752" s="21">
        <v>985.49850000000004</v>
      </c>
    </row>
    <row r="753" spans="2:12" ht="15.75" thickBot="1" x14ac:dyDescent="0.3">
      <c r="B753" s="5"/>
      <c r="C753" s="16" t="s">
        <v>6</v>
      </c>
      <c r="D753">
        <v>726.529</v>
      </c>
      <c r="E753" s="17"/>
      <c r="F753" s="21">
        <v>1222.4618</v>
      </c>
      <c r="H753" s="5"/>
      <c r="I753" s="16" t="s">
        <v>6</v>
      </c>
      <c r="J753">
        <v>732.37750000000005</v>
      </c>
      <c r="K753" s="17"/>
      <c r="L753" s="21">
        <v>1225.3239000000001</v>
      </c>
    </row>
    <row r="754" spans="2:12" ht="15.75" thickBot="1" x14ac:dyDescent="0.3">
      <c r="B754" s="5"/>
      <c r="D754" s="19">
        <f>SUM(D751:D753)</f>
        <v>2415.8908000000001</v>
      </c>
      <c r="F754" s="19">
        <f>SUM(F751:F753)</f>
        <v>5105.4516000000003</v>
      </c>
      <c r="H754" s="5"/>
      <c r="J754" s="19"/>
      <c r="L754" s="19"/>
    </row>
    <row r="755" spans="2:12" x14ac:dyDescent="0.25">
      <c r="B755" s="22" t="s">
        <v>8</v>
      </c>
      <c r="C755" s="23"/>
      <c r="D755" s="23"/>
      <c r="E755" s="23"/>
      <c r="F755" s="7"/>
      <c r="H755" s="22" t="s">
        <v>8</v>
      </c>
      <c r="I755" s="23"/>
      <c r="J755" s="23"/>
      <c r="K755" s="23"/>
      <c r="L755" s="7"/>
    </row>
    <row r="756" spans="2:12" ht="15.75" thickBot="1" x14ac:dyDescent="0.3">
      <c r="B756" s="24" t="s">
        <v>9</v>
      </c>
      <c r="C756" s="25"/>
      <c r="D756" s="25"/>
      <c r="E756" s="25"/>
      <c r="F756" s="26"/>
      <c r="H756" s="24" t="s">
        <v>9</v>
      </c>
      <c r="I756" s="25"/>
      <c r="J756" s="25"/>
      <c r="K756" s="25"/>
      <c r="L756" s="26"/>
    </row>
    <row r="757" spans="2:12" x14ac:dyDescent="0.25">
      <c r="B757" s="27" t="s">
        <v>10</v>
      </c>
      <c r="C757" s="27"/>
      <c r="D757" s="27"/>
      <c r="E757" s="27"/>
      <c r="H757" s="27" t="s">
        <v>10</v>
      </c>
      <c r="I757" s="27"/>
      <c r="J757" s="27"/>
      <c r="K757" s="27"/>
    </row>
    <row r="760" spans="2:12" ht="15.75" thickBot="1" x14ac:dyDescent="0.3"/>
    <row r="761" spans="2:12" x14ac:dyDescent="0.25">
      <c r="B761" s="1"/>
      <c r="C761" s="2"/>
      <c r="D761" s="3">
        <v>45362</v>
      </c>
      <c r="E761" s="2"/>
      <c r="F761" s="4"/>
      <c r="H761" s="1"/>
      <c r="I761" s="2"/>
      <c r="J761" s="3">
        <v>45369</v>
      </c>
      <c r="K761" s="2"/>
      <c r="L761" s="4"/>
    </row>
    <row r="762" spans="2:12" x14ac:dyDescent="0.25">
      <c r="B762" s="5"/>
      <c r="D762" s="6"/>
      <c r="F762" s="7"/>
      <c r="H762" s="5"/>
      <c r="J762" s="6"/>
      <c r="L762" s="7"/>
    </row>
    <row r="763" spans="2:12" x14ac:dyDescent="0.25">
      <c r="B763" s="5"/>
      <c r="C763" s="8" t="s">
        <v>0</v>
      </c>
      <c r="D763" s="9"/>
      <c r="E763" s="9"/>
      <c r="F763" s="10"/>
      <c r="H763" s="5"/>
      <c r="I763" s="8" t="s">
        <v>0</v>
      </c>
      <c r="J763" s="9"/>
      <c r="K763" s="9"/>
      <c r="L763" s="10"/>
    </row>
    <row r="764" spans="2:12" x14ac:dyDescent="0.25">
      <c r="B764" s="5"/>
      <c r="C764" s="11" t="s">
        <v>1</v>
      </c>
      <c r="D764" s="12"/>
      <c r="E764" s="12"/>
      <c r="F764" s="13"/>
      <c r="H764" s="5"/>
      <c r="I764" s="11" t="s">
        <v>1</v>
      </c>
      <c r="J764" s="12"/>
      <c r="K764" s="12"/>
      <c r="L764" s="13"/>
    </row>
    <row r="765" spans="2:12" x14ac:dyDescent="0.25">
      <c r="B765" s="5"/>
      <c r="C765" s="14"/>
      <c r="D765" t="s">
        <v>2</v>
      </c>
      <c r="F765" s="7" t="s">
        <v>3</v>
      </c>
      <c r="H765" s="5"/>
      <c r="I765" s="14"/>
      <c r="J765" t="s">
        <v>2</v>
      </c>
      <c r="L765" s="7" t="s">
        <v>3</v>
      </c>
    </row>
    <row r="766" spans="2:12" x14ac:dyDescent="0.25">
      <c r="B766" s="5"/>
      <c r="C766" s="14" t="s">
        <v>4</v>
      </c>
      <c r="D766">
        <v>4865.317</v>
      </c>
      <c r="F766" s="15">
        <v>4.9500000000000002E-2</v>
      </c>
      <c r="H766" s="5"/>
      <c r="I766" s="14" t="s">
        <v>4</v>
      </c>
      <c r="J766">
        <v>4895.5228999999999</v>
      </c>
      <c r="L766" s="15">
        <v>4.9750000000000003E-2</v>
      </c>
    </row>
    <row r="767" spans="2:12" x14ac:dyDescent="0.25">
      <c r="B767" s="5"/>
      <c r="C767" s="14" t="s">
        <v>5</v>
      </c>
      <c r="D767">
        <v>1100.8800000000001</v>
      </c>
      <c r="F767" s="15">
        <v>0.1024</v>
      </c>
      <c r="H767" s="5"/>
      <c r="I767" s="14" t="s">
        <v>5</v>
      </c>
      <c r="J767">
        <v>1108.5333000000001</v>
      </c>
      <c r="L767" s="15">
        <v>0.10324</v>
      </c>
    </row>
    <row r="768" spans="2:12" ht="15.75" thickBot="1" x14ac:dyDescent="0.3">
      <c r="B768" s="5"/>
      <c r="C768" s="16" t="s">
        <v>6</v>
      </c>
      <c r="D768">
        <v>1177.9880000000001</v>
      </c>
      <c r="E768" s="17"/>
      <c r="F768" s="18">
        <v>0.15759999999999999</v>
      </c>
      <c r="H768" s="5"/>
      <c r="I768" s="16" t="s">
        <v>6</v>
      </c>
      <c r="J768">
        <v>1185.2281</v>
      </c>
      <c r="K768" s="17"/>
      <c r="L768" s="18">
        <v>0.15856000000000001</v>
      </c>
    </row>
    <row r="769" spans="2:12" ht="15.75" thickBot="1" x14ac:dyDescent="0.3">
      <c r="B769" s="5"/>
      <c r="D769" s="19"/>
      <c r="F769" s="19"/>
      <c r="H769" s="5"/>
      <c r="J769" s="19"/>
      <c r="L769" s="19"/>
    </row>
    <row r="770" spans="2:12" x14ac:dyDescent="0.25">
      <c r="B770" s="5"/>
      <c r="C770" s="8" t="s">
        <v>7</v>
      </c>
      <c r="D770" s="12"/>
      <c r="E770" s="9"/>
      <c r="F770" s="10"/>
      <c r="H770" s="5"/>
      <c r="I770" s="8" t="s">
        <v>7</v>
      </c>
      <c r="J770" s="12"/>
      <c r="K770" s="9"/>
      <c r="L770" s="10"/>
    </row>
    <row r="771" spans="2:12" x14ac:dyDescent="0.25">
      <c r="B771" s="5"/>
      <c r="C771" s="11" t="s">
        <v>1</v>
      </c>
      <c r="D771" s="12"/>
      <c r="E771" s="12"/>
      <c r="F771" s="13"/>
      <c r="H771" s="5"/>
      <c r="I771" s="11" t="s">
        <v>1</v>
      </c>
      <c r="J771" s="12"/>
      <c r="K771" s="12"/>
      <c r="L771" s="13"/>
    </row>
    <row r="772" spans="2:12" x14ac:dyDescent="0.25">
      <c r="B772" s="5"/>
      <c r="C772" s="14"/>
      <c r="D772" t="s">
        <v>2</v>
      </c>
      <c r="F772" s="7" t="s">
        <v>3</v>
      </c>
      <c r="H772" s="5"/>
      <c r="I772" s="14"/>
      <c r="J772" t="s">
        <v>2</v>
      </c>
      <c r="L772" s="7" t="s">
        <v>3</v>
      </c>
    </row>
    <row r="773" spans="2:12" x14ac:dyDescent="0.25">
      <c r="B773" s="5"/>
      <c r="C773" s="14" t="s">
        <v>4</v>
      </c>
      <c r="D773">
        <v>1116.9052999999999</v>
      </c>
      <c r="F773" s="20">
        <v>2961.9198000000001</v>
      </c>
      <c r="H773" s="5"/>
      <c r="I773" s="14" t="s">
        <v>4</v>
      </c>
      <c r="J773">
        <v>1125.7144000000001</v>
      </c>
      <c r="L773" s="20">
        <v>2990.2874000000002</v>
      </c>
    </row>
    <row r="774" spans="2:12" x14ac:dyDescent="0.25">
      <c r="B774" s="5"/>
      <c r="C774" s="14" t="s">
        <v>5</v>
      </c>
      <c r="D774">
        <v>601.82989999999995</v>
      </c>
      <c r="F774" s="21">
        <v>993.19200000000001</v>
      </c>
      <c r="H774" s="5"/>
      <c r="I774" s="14" t="s">
        <v>5</v>
      </c>
      <c r="J774">
        <v>607.70749999999998</v>
      </c>
      <c r="L774" s="21">
        <v>1000.8855</v>
      </c>
    </row>
    <row r="775" spans="2:12" ht="15.75" thickBot="1" x14ac:dyDescent="0.3">
      <c r="B775" s="5"/>
      <c r="C775" s="16" t="s">
        <v>6</v>
      </c>
      <c r="D775">
        <v>738.226</v>
      </c>
      <c r="E775" s="17"/>
      <c r="F775" s="21">
        <v>1228.1858</v>
      </c>
      <c r="H775" s="5"/>
      <c r="I775" s="16" t="s">
        <v>6</v>
      </c>
      <c r="J775">
        <v>744.07449999999994</v>
      </c>
      <c r="K775" s="17"/>
      <c r="L775" s="21">
        <v>1231.0479</v>
      </c>
    </row>
    <row r="776" spans="2:12" ht="15.75" thickBot="1" x14ac:dyDescent="0.3">
      <c r="B776" s="5"/>
      <c r="D776" s="19"/>
      <c r="F776" s="19"/>
      <c r="H776" s="5"/>
      <c r="J776" s="19"/>
      <c r="L776" s="19"/>
    </row>
    <row r="777" spans="2:12" x14ac:dyDescent="0.25">
      <c r="B777" s="22" t="s">
        <v>8</v>
      </c>
      <c r="C777" s="23"/>
      <c r="D777" s="23"/>
      <c r="E777" s="23"/>
      <c r="F777" s="7"/>
      <c r="H777" s="22" t="s">
        <v>8</v>
      </c>
      <c r="I777" s="23"/>
      <c r="J777" s="23"/>
      <c r="K777" s="23"/>
      <c r="L777" s="7"/>
    </row>
    <row r="778" spans="2:12" ht="15.75" thickBot="1" x14ac:dyDescent="0.3">
      <c r="B778" s="24" t="s">
        <v>9</v>
      </c>
      <c r="C778" s="25"/>
      <c r="D778" s="25"/>
      <c r="E778" s="25"/>
      <c r="F778" s="26"/>
      <c r="H778" s="24" t="s">
        <v>9</v>
      </c>
      <c r="I778" s="25"/>
      <c r="J778" s="25"/>
      <c r="K778" s="25"/>
      <c r="L778" s="26"/>
    </row>
    <row r="779" spans="2:12" x14ac:dyDescent="0.25">
      <c r="B779" s="27" t="s">
        <v>10</v>
      </c>
      <c r="C779" s="27"/>
      <c r="D779" s="27"/>
      <c r="E779" s="27"/>
      <c r="H779" s="27" t="s">
        <v>10</v>
      </c>
      <c r="I779" s="27"/>
      <c r="J779" s="27"/>
      <c r="K779" s="27"/>
    </row>
    <row r="782" spans="2:12" ht="15.75" thickBot="1" x14ac:dyDescent="0.3"/>
    <row r="783" spans="2:12" x14ac:dyDescent="0.25">
      <c r="B783" s="1"/>
      <c r="C783" s="2"/>
      <c r="D783" s="3">
        <v>45376</v>
      </c>
      <c r="E783" s="2"/>
      <c r="F783" s="4"/>
      <c r="H783" s="1"/>
      <c r="I783" s="2"/>
      <c r="J783" s="3">
        <v>45383</v>
      </c>
      <c r="K783" s="2"/>
      <c r="L783" s="4"/>
    </row>
    <row r="784" spans="2:12" x14ac:dyDescent="0.25">
      <c r="B784" s="5"/>
      <c r="D784" s="6"/>
      <c r="F784" s="7"/>
      <c r="H784" s="5"/>
      <c r="J784" s="6"/>
      <c r="L784" s="7"/>
    </row>
    <row r="785" spans="2:12" x14ac:dyDescent="0.25">
      <c r="B785" s="5"/>
      <c r="C785" s="8" t="s">
        <v>0</v>
      </c>
      <c r="D785" s="9"/>
      <c r="E785" s="9"/>
      <c r="F785" s="10"/>
      <c r="H785" s="5"/>
      <c r="I785" s="8" t="s">
        <v>0</v>
      </c>
      <c r="J785" s="9"/>
      <c r="K785" s="9"/>
      <c r="L785" s="10"/>
    </row>
    <row r="786" spans="2:12" x14ac:dyDescent="0.25">
      <c r="B786" s="5"/>
      <c r="C786" s="11" t="s">
        <v>1</v>
      </c>
      <c r="D786" s="12"/>
      <c r="E786" s="12"/>
      <c r="F786" s="13"/>
      <c r="H786" s="5"/>
      <c r="I786" s="11" t="s">
        <v>1</v>
      </c>
      <c r="J786" s="12"/>
      <c r="K786" s="12"/>
      <c r="L786" s="13"/>
    </row>
    <row r="787" spans="2:12" x14ac:dyDescent="0.25">
      <c r="B787" s="5"/>
      <c r="C787" s="14"/>
      <c r="D787" t="s">
        <v>2</v>
      </c>
      <c r="F787" s="7" t="s">
        <v>3</v>
      </c>
      <c r="H787" s="5"/>
      <c r="I787" s="14"/>
      <c r="J787" t="s">
        <v>2</v>
      </c>
      <c r="L787" s="7" t="s">
        <v>3</v>
      </c>
    </row>
    <row r="788" spans="2:12" x14ac:dyDescent="0.25">
      <c r="B788" s="5"/>
      <c r="C788" s="14" t="s">
        <v>4</v>
      </c>
      <c r="D788">
        <v>4925.7287999999999</v>
      </c>
      <c r="F788" s="15">
        <v>0.05</v>
      </c>
      <c r="H788" s="5"/>
      <c r="I788" s="14" t="s">
        <v>4</v>
      </c>
      <c r="J788">
        <v>4955.9346999999998</v>
      </c>
      <c r="L788" s="15">
        <v>5.0250000000000003E-2</v>
      </c>
    </row>
    <row r="789" spans="2:12" x14ac:dyDescent="0.25">
      <c r="B789" s="5"/>
      <c r="C789" s="14" t="s">
        <v>5</v>
      </c>
      <c r="D789">
        <v>1116.1866</v>
      </c>
      <c r="F789" s="15">
        <v>0.10408000000000001</v>
      </c>
      <c r="H789" s="5"/>
      <c r="I789" s="14" t="s">
        <v>5</v>
      </c>
      <c r="J789">
        <v>1123.8398999999999</v>
      </c>
      <c r="L789" s="15">
        <v>0.10492</v>
      </c>
    </row>
    <row r="790" spans="2:12" ht="15.75" thickBot="1" x14ac:dyDescent="0.3">
      <c r="B790" s="5"/>
      <c r="C790" s="16" t="s">
        <v>6</v>
      </c>
      <c r="D790">
        <v>1192.4682</v>
      </c>
      <c r="E790" s="17"/>
      <c r="F790" s="18">
        <v>0.15952</v>
      </c>
      <c r="H790" s="5"/>
      <c r="I790" s="16" t="s">
        <v>6</v>
      </c>
      <c r="J790">
        <v>1199.7083</v>
      </c>
      <c r="K790" s="17"/>
      <c r="L790" s="18">
        <v>0.16048000000000001</v>
      </c>
    </row>
    <row r="791" spans="2:12" ht="15.75" thickBot="1" x14ac:dyDescent="0.3">
      <c r="B791" s="5"/>
      <c r="D791" s="19"/>
      <c r="F791" s="19"/>
      <c r="H791" s="5"/>
      <c r="J791" s="19"/>
      <c r="L791" s="19"/>
    </row>
    <row r="792" spans="2:12" x14ac:dyDescent="0.25">
      <c r="B792" s="5"/>
      <c r="C792" s="8" t="s">
        <v>7</v>
      </c>
      <c r="D792" s="12"/>
      <c r="E792" s="9"/>
      <c r="F792" s="10"/>
      <c r="H792" s="5"/>
      <c r="I792" s="8" t="s">
        <v>7</v>
      </c>
      <c r="J792" s="12"/>
      <c r="K792" s="9"/>
      <c r="L792" s="10"/>
    </row>
    <row r="793" spans="2:12" x14ac:dyDescent="0.25">
      <c r="B793" s="5"/>
      <c r="C793" s="11" t="s">
        <v>1</v>
      </c>
      <c r="D793" s="12"/>
      <c r="E793" s="12"/>
      <c r="F793" s="13"/>
      <c r="H793" s="5"/>
      <c r="I793" s="11" t="s">
        <v>1</v>
      </c>
      <c r="J793" s="12"/>
      <c r="K793" s="12"/>
      <c r="L793" s="13"/>
    </row>
    <row r="794" spans="2:12" x14ac:dyDescent="0.25">
      <c r="B794" s="5"/>
      <c r="C794" s="14"/>
      <c r="D794" t="s">
        <v>2</v>
      </c>
      <c r="F794" s="7" t="s">
        <v>3</v>
      </c>
      <c r="H794" s="5"/>
      <c r="I794" s="14"/>
      <c r="J794" t="s">
        <v>2</v>
      </c>
      <c r="L794" s="7" t="s">
        <v>3</v>
      </c>
    </row>
    <row r="795" spans="2:12" x14ac:dyDescent="0.25">
      <c r="B795" s="5"/>
      <c r="C795" s="14" t="s">
        <v>4</v>
      </c>
      <c r="D795">
        <v>1134.5235</v>
      </c>
      <c r="F795" s="20">
        <v>3018.6547999999998</v>
      </c>
      <c r="H795" s="5"/>
      <c r="I795" s="14" t="s">
        <v>4</v>
      </c>
      <c r="J795">
        <v>1143.3326</v>
      </c>
      <c r="L795" s="20">
        <v>3047.0221999999999</v>
      </c>
    </row>
    <row r="796" spans="2:12" x14ac:dyDescent="0.25">
      <c r="B796" s="5"/>
      <c r="C796" s="14" t="s">
        <v>5</v>
      </c>
      <c r="D796">
        <v>613.58510000000001</v>
      </c>
      <c r="F796" s="21">
        <v>1008.579</v>
      </c>
      <c r="H796" s="5"/>
      <c r="I796" s="14" t="s">
        <v>5</v>
      </c>
      <c r="J796">
        <v>619.46270000000004</v>
      </c>
      <c r="L796" s="21">
        <v>1016.2725</v>
      </c>
    </row>
    <row r="797" spans="2:12" ht="15.75" thickBot="1" x14ac:dyDescent="0.3">
      <c r="B797" s="5"/>
      <c r="C797" s="16" t="s">
        <v>6</v>
      </c>
      <c r="D797">
        <v>749.923</v>
      </c>
      <c r="E797" s="17"/>
      <c r="F797" s="21">
        <v>1233.9097999999999</v>
      </c>
      <c r="H797" s="5"/>
      <c r="I797" s="16" t="s">
        <v>6</v>
      </c>
      <c r="J797">
        <v>755.77149999999995</v>
      </c>
      <c r="K797" s="17"/>
      <c r="L797" s="21">
        <v>1236.7717</v>
      </c>
    </row>
    <row r="798" spans="2:12" ht="15.75" thickBot="1" x14ac:dyDescent="0.3">
      <c r="B798" s="5"/>
      <c r="D798" s="19">
        <f>SUM(D795:D797)</f>
        <v>2498.0316000000003</v>
      </c>
      <c r="F798" s="19">
        <f>SUM(F795:F797)</f>
        <v>5261.1435999999994</v>
      </c>
      <c r="H798" s="5"/>
      <c r="J798" s="19"/>
      <c r="L798" s="19"/>
    </row>
    <row r="799" spans="2:12" x14ac:dyDescent="0.25">
      <c r="B799" s="22" t="s">
        <v>8</v>
      </c>
      <c r="C799" s="23"/>
      <c r="D799" s="23"/>
      <c r="E799" s="23"/>
      <c r="F799" s="7"/>
      <c r="H799" s="22" t="s">
        <v>8</v>
      </c>
      <c r="I799" s="23"/>
      <c r="J799" s="23"/>
      <c r="K799" s="23"/>
      <c r="L799" s="7"/>
    </row>
    <row r="800" spans="2:12" ht="15.75" thickBot="1" x14ac:dyDescent="0.3">
      <c r="B800" s="24" t="s">
        <v>9</v>
      </c>
      <c r="C800" s="25"/>
      <c r="D800" s="25"/>
      <c r="E800" s="25"/>
      <c r="F800" s="26"/>
      <c r="H800" s="24" t="s">
        <v>9</v>
      </c>
      <c r="I800" s="25"/>
      <c r="J800" s="25"/>
      <c r="K800" s="25"/>
      <c r="L800" s="26"/>
    </row>
    <row r="801" spans="2:12" x14ac:dyDescent="0.25">
      <c r="B801" s="27" t="s">
        <v>10</v>
      </c>
      <c r="C801" s="27"/>
      <c r="D801" s="27"/>
      <c r="E801" s="27"/>
      <c r="H801" s="27" t="s">
        <v>10</v>
      </c>
      <c r="I801" s="27"/>
      <c r="J801" s="27"/>
      <c r="K801" s="27"/>
    </row>
    <row r="802" spans="2:12" x14ac:dyDescent="0.25">
      <c r="B802" s="27"/>
      <c r="C802" s="27"/>
      <c r="D802" s="27"/>
      <c r="E802" s="27"/>
      <c r="H802" s="27"/>
      <c r="I802" s="27"/>
      <c r="J802" s="27"/>
      <c r="K802" s="27"/>
    </row>
    <row r="803" spans="2:12" x14ac:dyDescent="0.25">
      <c r="B803" s="27"/>
      <c r="C803" s="27"/>
      <c r="D803" s="27"/>
      <c r="E803" s="27"/>
      <c r="H803" s="27"/>
      <c r="I803" s="27"/>
      <c r="J803" s="27"/>
      <c r="K803" s="27"/>
    </row>
    <row r="804" spans="2:12" ht="15.75" thickBot="1" x14ac:dyDescent="0.3"/>
    <row r="805" spans="2:12" x14ac:dyDescent="0.25">
      <c r="B805" s="1"/>
      <c r="C805" s="2"/>
      <c r="D805" s="3">
        <v>45390</v>
      </c>
      <c r="E805" s="2"/>
      <c r="F805" s="4"/>
      <c r="H805" s="1"/>
      <c r="I805" s="2"/>
      <c r="J805" s="3">
        <v>45397</v>
      </c>
      <c r="K805" s="2"/>
      <c r="L805" s="4"/>
    </row>
    <row r="806" spans="2:12" x14ac:dyDescent="0.25">
      <c r="B806" s="5"/>
      <c r="D806" s="6"/>
      <c r="F806" s="7"/>
      <c r="H806" s="5"/>
      <c r="J806" s="6"/>
      <c r="L806" s="7"/>
    </row>
    <row r="807" spans="2:12" x14ac:dyDescent="0.25">
      <c r="B807" s="5"/>
      <c r="C807" s="8" t="s">
        <v>0</v>
      </c>
      <c r="D807" s="9"/>
      <c r="E807" s="9"/>
      <c r="F807" s="10"/>
      <c r="H807" s="5"/>
      <c r="I807" s="8" t="s">
        <v>0</v>
      </c>
      <c r="J807" s="9"/>
      <c r="K807" s="9"/>
      <c r="L807" s="10"/>
    </row>
    <row r="808" spans="2:12" x14ac:dyDescent="0.25">
      <c r="B808" s="5"/>
      <c r="C808" s="11" t="s">
        <v>1</v>
      </c>
      <c r="D808" s="12"/>
      <c r="E808" s="12"/>
      <c r="F808" s="13"/>
      <c r="H808" s="5"/>
      <c r="I808" s="11" t="s">
        <v>1</v>
      </c>
      <c r="J808" s="12"/>
      <c r="K808" s="12"/>
      <c r="L808" s="13"/>
    </row>
    <row r="809" spans="2:12" x14ac:dyDescent="0.25">
      <c r="B809" s="5"/>
      <c r="C809" s="14"/>
      <c r="D809" t="s">
        <v>2</v>
      </c>
      <c r="F809" s="7" t="s">
        <v>3</v>
      </c>
      <c r="H809" s="5"/>
      <c r="I809" s="14"/>
      <c r="J809" t="s">
        <v>2</v>
      </c>
      <c r="L809" s="7" t="s">
        <v>3</v>
      </c>
    </row>
    <row r="810" spans="2:12" x14ac:dyDescent="0.25">
      <c r="B810" s="5"/>
      <c r="C810" s="14" t="s">
        <v>4</v>
      </c>
      <c r="D810">
        <v>4986.1405999999997</v>
      </c>
      <c r="F810" s="15">
        <v>5.0500000000000003E-2</v>
      </c>
      <c r="H810" s="5"/>
      <c r="I810" s="14" t="s">
        <v>4</v>
      </c>
      <c r="J810">
        <v>5016.3464999999997</v>
      </c>
      <c r="L810" s="15">
        <v>5.0750000000000003E-2</v>
      </c>
    </row>
    <row r="811" spans="2:12" x14ac:dyDescent="0.25">
      <c r="B811" s="5"/>
      <c r="C811" s="14" t="s">
        <v>5</v>
      </c>
      <c r="D811">
        <v>1131.4931999999999</v>
      </c>
      <c r="F811" s="15">
        <v>0.10576000000000001</v>
      </c>
      <c r="H811" s="5"/>
      <c r="I811" s="14" t="s">
        <v>5</v>
      </c>
      <c r="J811">
        <v>1139.1465000000001</v>
      </c>
      <c r="L811" s="15">
        <v>0.1066</v>
      </c>
    </row>
    <row r="812" spans="2:12" ht="15.75" thickBot="1" x14ac:dyDescent="0.3">
      <c r="B812" s="5"/>
      <c r="C812" s="16" t="s">
        <v>6</v>
      </c>
      <c r="D812">
        <v>1206.9484</v>
      </c>
      <c r="E812" s="17"/>
      <c r="F812" s="18">
        <v>0.16144</v>
      </c>
      <c r="H812" s="5"/>
      <c r="I812" s="16" t="s">
        <v>6</v>
      </c>
      <c r="J812">
        <v>1214.1885</v>
      </c>
      <c r="K812" s="17"/>
      <c r="L812" s="18">
        <v>0.16239999999999999</v>
      </c>
    </row>
    <row r="813" spans="2:12" ht="15.75" thickBot="1" x14ac:dyDescent="0.3">
      <c r="B813" s="5"/>
      <c r="D813" s="19"/>
      <c r="F813" s="19"/>
      <c r="H813" s="5"/>
      <c r="J813" s="19"/>
      <c r="L813" s="19"/>
    </row>
    <row r="814" spans="2:12" x14ac:dyDescent="0.25">
      <c r="B814" s="5"/>
      <c r="C814" s="8" t="s">
        <v>7</v>
      </c>
      <c r="D814" s="12"/>
      <c r="E814" s="9"/>
      <c r="F814" s="10"/>
      <c r="H814" s="5"/>
      <c r="I814" s="8" t="s">
        <v>7</v>
      </c>
      <c r="J814" s="12"/>
      <c r="K814" s="9"/>
      <c r="L814" s="10"/>
    </row>
    <row r="815" spans="2:12" x14ac:dyDescent="0.25">
      <c r="B815" s="5"/>
      <c r="C815" s="11" t="s">
        <v>1</v>
      </c>
      <c r="D815" s="12"/>
      <c r="E815" s="12"/>
      <c r="F815" s="13"/>
      <c r="H815" s="5"/>
      <c r="I815" s="11" t="s">
        <v>1</v>
      </c>
      <c r="J815" s="12"/>
      <c r="K815" s="12"/>
      <c r="L815" s="13"/>
    </row>
    <row r="816" spans="2:12" x14ac:dyDescent="0.25">
      <c r="B816" s="5"/>
      <c r="C816" s="14"/>
      <c r="D816" t="s">
        <v>2</v>
      </c>
      <c r="F816" s="7" t="s">
        <v>3</v>
      </c>
      <c r="H816" s="5"/>
      <c r="I816" s="14"/>
      <c r="J816" t="s">
        <v>2</v>
      </c>
      <c r="L816" s="7" t="s">
        <v>3</v>
      </c>
    </row>
    <row r="817" spans="2:12" x14ac:dyDescent="0.25">
      <c r="B817" s="5"/>
      <c r="C817" s="14" t="s">
        <v>4</v>
      </c>
      <c r="D817">
        <v>1152.1416999999999</v>
      </c>
      <c r="F817" s="20">
        <v>3075.3896</v>
      </c>
      <c r="H817" s="5"/>
      <c r="I817" s="14" t="s">
        <v>4</v>
      </c>
      <c r="J817">
        <v>1160.9508000000001</v>
      </c>
      <c r="L817" s="20">
        <v>3103.7570000000001</v>
      </c>
    </row>
    <row r="818" spans="2:12" x14ac:dyDescent="0.25">
      <c r="B818" s="5"/>
      <c r="C818" s="14" t="s">
        <v>5</v>
      </c>
      <c r="D818">
        <v>625.34029999999996</v>
      </c>
      <c r="F818" s="21">
        <v>1023.966</v>
      </c>
      <c r="H818" s="5"/>
      <c r="I818" s="14" t="s">
        <v>5</v>
      </c>
      <c r="J818">
        <v>631.21789999999999</v>
      </c>
      <c r="L818" s="21">
        <v>1031.6595</v>
      </c>
    </row>
    <row r="819" spans="2:12" ht="15.75" thickBot="1" x14ac:dyDescent="0.3">
      <c r="B819" s="5"/>
      <c r="C819" s="16" t="s">
        <v>6</v>
      </c>
      <c r="D819">
        <v>761.62</v>
      </c>
      <c r="E819" s="17"/>
      <c r="F819" s="21">
        <v>1239.6335999999999</v>
      </c>
      <c r="H819" s="5"/>
      <c r="I819" s="16" t="s">
        <v>6</v>
      </c>
      <c r="J819">
        <v>767.46849999999995</v>
      </c>
      <c r="K819" s="17"/>
      <c r="L819" s="21">
        <v>1242.4955</v>
      </c>
    </row>
    <row r="820" spans="2:12" ht="15.75" thickBot="1" x14ac:dyDescent="0.3">
      <c r="B820" s="5"/>
      <c r="D820" s="19"/>
      <c r="F820" s="19"/>
      <c r="H820" s="5"/>
      <c r="J820" s="19"/>
      <c r="L820" s="19"/>
    </row>
    <row r="821" spans="2:12" x14ac:dyDescent="0.25">
      <c r="B821" s="22" t="s">
        <v>8</v>
      </c>
      <c r="C821" s="23"/>
      <c r="D821" s="23"/>
      <c r="E821" s="23"/>
      <c r="F821" s="7"/>
      <c r="H821" s="22" t="s">
        <v>8</v>
      </c>
      <c r="I821" s="23"/>
      <c r="J821" s="23"/>
      <c r="K821" s="23"/>
      <c r="L821" s="7"/>
    </row>
    <row r="822" spans="2:12" ht="15.75" thickBot="1" x14ac:dyDescent="0.3">
      <c r="B822" s="24" t="s">
        <v>9</v>
      </c>
      <c r="C822" s="25"/>
      <c r="D822" s="25"/>
      <c r="E822" s="25"/>
      <c r="F822" s="26"/>
      <c r="H822" s="24" t="s">
        <v>9</v>
      </c>
      <c r="I822" s="25"/>
      <c r="J822" s="25"/>
      <c r="K822" s="25"/>
      <c r="L822" s="26"/>
    </row>
    <row r="823" spans="2:12" x14ac:dyDescent="0.25">
      <c r="B823" s="27" t="s">
        <v>10</v>
      </c>
      <c r="C823" s="27"/>
      <c r="D823" s="27"/>
      <c r="E823" s="27"/>
      <c r="H823" s="27" t="s">
        <v>10</v>
      </c>
      <c r="I823" s="27"/>
      <c r="J823" s="27"/>
      <c r="K823" s="27"/>
    </row>
    <row r="824" spans="2:12" x14ac:dyDescent="0.25">
      <c r="B824" s="27"/>
      <c r="C824" s="27"/>
      <c r="D824" s="27"/>
      <c r="E824" s="27"/>
      <c r="H824" s="27"/>
      <c r="I824" s="27"/>
      <c r="J824" s="27"/>
      <c r="K824" s="27"/>
    </row>
    <row r="825" spans="2:12" x14ac:dyDescent="0.25">
      <c r="B825" s="27"/>
      <c r="C825" s="27"/>
      <c r="D825" s="27"/>
      <c r="E825" s="27"/>
      <c r="H825" s="27"/>
      <c r="I825" s="27"/>
      <c r="J825" s="27"/>
      <c r="K825" s="27"/>
    </row>
    <row r="826" spans="2:12" ht="15.75" thickBot="1" x14ac:dyDescent="0.3"/>
    <row r="827" spans="2:12" x14ac:dyDescent="0.25">
      <c r="B827" s="1"/>
      <c r="C827" s="2"/>
      <c r="D827" s="3">
        <v>45404</v>
      </c>
      <c r="E827" s="2"/>
      <c r="F827" s="4"/>
      <c r="H827" s="1"/>
      <c r="I827" s="2"/>
      <c r="J827" s="3">
        <v>45411</v>
      </c>
      <c r="K827" s="2"/>
      <c r="L827" s="4"/>
    </row>
    <row r="828" spans="2:12" x14ac:dyDescent="0.25">
      <c r="B828" s="5"/>
      <c r="D828" s="6"/>
      <c r="F828" s="7"/>
      <c r="H828" s="5"/>
      <c r="J828" s="6"/>
      <c r="L828" s="7"/>
    </row>
    <row r="829" spans="2:12" x14ac:dyDescent="0.25">
      <c r="B829" s="5"/>
      <c r="C829" s="8" t="s">
        <v>0</v>
      </c>
      <c r="D829" s="9"/>
      <c r="E829" s="9"/>
      <c r="F829" s="10"/>
      <c r="H829" s="5"/>
      <c r="I829" s="8" t="s">
        <v>0</v>
      </c>
      <c r="J829" s="9"/>
      <c r="K829" s="9"/>
      <c r="L829" s="10"/>
    </row>
    <row r="830" spans="2:12" x14ac:dyDescent="0.25">
      <c r="B830" s="5"/>
      <c r="C830" s="11" t="s">
        <v>1</v>
      </c>
      <c r="D830" s="12"/>
      <c r="E830" s="12"/>
      <c r="F830" s="13"/>
      <c r="H830" s="5"/>
      <c r="I830" s="11" t="s">
        <v>1</v>
      </c>
      <c r="J830" s="12"/>
      <c r="K830" s="12"/>
      <c r="L830" s="13"/>
    </row>
    <row r="831" spans="2:12" x14ac:dyDescent="0.25">
      <c r="B831" s="5"/>
      <c r="C831" s="14"/>
      <c r="D831" t="s">
        <v>2</v>
      </c>
      <c r="F831" s="7" t="s">
        <v>3</v>
      </c>
      <c r="H831" s="5"/>
      <c r="I831" s="14"/>
      <c r="J831" t="s">
        <v>2</v>
      </c>
      <c r="L831" s="7" t="s">
        <v>3</v>
      </c>
    </row>
    <row r="832" spans="2:12" x14ac:dyDescent="0.25">
      <c r="B832" s="5"/>
      <c r="C832" s="14" t="s">
        <v>4</v>
      </c>
      <c r="D832">
        <v>5046.5523999999996</v>
      </c>
      <c r="F832" s="15">
        <v>5.0999999999999997E-2</v>
      </c>
      <c r="H832" s="5"/>
      <c r="I832" s="14" t="s">
        <v>4</v>
      </c>
      <c r="J832">
        <v>5076.7583000000004</v>
      </c>
      <c r="L832" s="15">
        <v>5.1249999999999997E-2</v>
      </c>
    </row>
    <row r="833" spans="2:12" x14ac:dyDescent="0.25">
      <c r="B833" s="5"/>
      <c r="C833" s="14" t="s">
        <v>5</v>
      </c>
      <c r="D833">
        <v>1146.7998</v>
      </c>
      <c r="F833" s="15">
        <v>0.10743999999999999</v>
      </c>
      <c r="H833" s="5"/>
      <c r="I833" s="14" t="s">
        <v>5</v>
      </c>
      <c r="J833">
        <v>1154.4530999999999</v>
      </c>
      <c r="L833" s="15">
        <v>0.10828</v>
      </c>
    </row>
    <row r="834" spans="2:12" ht="15.75" thickBot="1" x14ac:dyDescent="0.3">
      <c r="B834" s="5"/>
      <c r="C834" s="16" t="s">
        <v>6</v>
      </c>
      <c r="D834">
        <v>1221.4286</v>
      </c>
      <c r="E834" s="17"/>
      <c r="F834" s="18">
        <v>0.16336000000000001</v>
      </c>
      <c r="H834" s="5"/>
      <c r="I834" s="16" t="s">
        <v>6</v>
      </c>
      <c r="J834">
        <v>1228.6686999999999</v>
      </c>
      <c r="K834" s="17"/>
      <c r="L834" s="18">
        <v>0.16431999999999999</v>
      </c>
    </row>
    <row r="835" spans="2:12" ht="15.75" thickBot="1" x14ac:dyDescent="0.3">
      <c r="B835" s="5"/>
      <c r="D835" s="19"/>
      <c r="F835" s="19"/>
      <c r="H835" s="5"/>
      <c r="J835" s="19"/>
      <c r="L835" s="19"/>
    </row>
    <row r="836" spans="2:12" x14ac:dyDescent="0.25">
      <c r="B836" s="5"/>
      <c r="C836" s="8" t="s">
        <v>7</v>
      </c>
      <c r="D836" s="12"/>
      <c r="E836" s="9"/>
      <c r="F836" s="10"/>
      <c r="H836" s="5"/>
      <c r="I836" s="8" t="s">
        <v>7</v>
      </c>
      <c r="J836" s="12"/>
      <c r="K836" s="9"/>
      <c r="L836" s="10"/>
    </row>
    <row r="837" spans="2:12" x14ac:dyDescent="0.25">
      <c r="B837" s="5"/>
      <c r="C837" s="11" t="s">
        <v>1</v>
      </c>
      <c r="D837" s="12"/>
      <c r="E837" s="12"/>
      <c r="F837" s="13"/>
      <c r="H837" s="5"/>
      <c r="I837" s="11" t="s">
        <v>1</v>
      </c>
      <c r="J837" s="12"/>
      <c r="K837" s="12"/>
      <c r="L837" s="13"/>
    </row>
    <row r="838" spans="2:12" x14ac:dyDescent="0.25">
      <c r="B838" s="5"/>
      <c r="C838" s="14"/>
      <c r="D838" t="s">
        <v>2</v>
      </c>
      <c r="F838" s="7" t="s">
        <v>3</v>
      </c>
      <c r="H838" s="5"/>
      <c r="I838" s="14"/>
      <c r="J838" t="s">
        <v>2</v>
      </c>
      <c r="L838" s="7" t="s">
        <v>3</v>
      </c>
    </row>
    <row r="839" spans="2:12" x14ac:dyDescent="0.25">
      <c r="B839" s="5"/>
      <c r="C839" s="14" t="s">
        <v>4</v>
      </c>
      <c r="D839">
        <v>1169.7599</v>
      </c>
      <c r="F839" s="20">
        <v>3132.1244000000002</v>
      </c>
      <c r="H839" s="5"/>
      <c r="I839" s="14" t="s">
        <v>4</v>
      </c>
      <c r="J839">
        <v>1178.569</v>
      </c>
      <c r="L839" s="20">
        <v>3160.4917999999998</v>
      </c>
    </row>
    <row r="840" spans="2:12" x14ac:dyDescent="0.25">
      <c r="B840" s="5"/>
      <c r="C840" s="14" t="s">
        <v>5</v>
      </c>
      <c r="D840">
        <v>637.09550000000002</v>
      </c>
      <c r="F840" s="21">
        <v>1039.3530000000001</v>
      </c>
      <c r="H840" s="5"/>
      <c r="I840" s="14" t="s">
        <v>5</v>
      </c>
      <c r="J840">
        <v>642.97310000000004</v>
      </c>
      <c r="L840" s="21">
        <v>1047.0464999999999</v>
      </c>
    </row>
    <row r="841" spans="2:12" ht="15.75" thickBot="1" x14ac:dyDescent="0.3">
      <c r="B841" s="5"/>
      <c r="C841" s="16" t="s">
        <v>6</v>
      </c>
      <c r="D841">
        <v>773.31700000000001</v>
      </c>
      <c r="E841" s="17"/>
      <c r="F841" s="21">
        <v>1245.3574000000001</v>
      </c>
      <c r="H841" s="5"/>
      <c r="I841" s="16" t="s">
        <v>6</v>
      </c>
      <c r="J841">
        <v>779.16549999999995</v>
      </c>
      <c r="K841" s="17"/>
      <c r="L841" s="21">
        <v>1248.2193</v>
      </c>
    </row>
    <row r="842" spans="2:12" ht="15.75" thickBot="1" x14ac:dyDescent="0.3">
      <c r="B842" s="5"/>
      <c r="D842" s="19"/>
      <c r="F842" s="19"/>
      <c r="H842" s="5"/>
      <c r="J842" s="19">
        <f>SUM(J839:J841)</f>
        <v>2600.7076000000002</v>
      </c>
      <c r="L842" s="19">
        <f>SUM(L839:L841)</f>
        <v>5455.7575999999999</v>
      </c>
    </row>
    <row r="843" spans="2:12" x14ac:dyDescent="0.25">
      <c r="B843" s="22" t="s">
        <v>8</v>
      </c>
      <c r="C843" s="23"/>
      <c r="D843" s="23"/>
      <c r="E843" s="23"/>
      <c r="F843" s="7"/>
      <c r="H843" s="22" t="s">
        <v>8</v>
      </c>
      <c r="I843" s="23"/>
      <c r="J843" s="23"/>
      <c r="K843" s="23"/>
      <c r="L843" s="7"/>
    </row>
    <row r="844" spans="2:12" ht="15.75" thickBot="1" x14ac:dyDescent="0.3">
      <c r="B844" s="24" t="s">
        <v>9</v>
      </c>
      <c r="C844" s="25"/>
      <c r="D844" s="25"/>
      <c r="E844" s="25"/>
      <c r="F844" s="26"/>
      <c r="H844" s="24" t="s">
        <v>9</v>
      </c>
      <c r="I844" s="25"/>
      <c r="J844" s="25"/>
      <c r="K844" s="25"/>
      <c r="L844" s="26"/>
    </row>
    <row r="845" spans="2:12" x14ac:dyDescent="0.25">
      <c r="B845" s="27" t="s">
        <v>10</v>
      </c>
      <c r="C845" s="27"/>
      <c r="D845" s="27"/>
      <c r="E845" s="27"/>
      <c r="H845" s="27" t="s">
        <v>10</v>
      </c>
      <c r="I845" s="27"/>
      <c r="J845" s="27"/>
      <c r="K845" s="27"/>
    </row>
    <row r="846" spans="2:12" x14ac:dyDescent="0.25">
      <c r="B846" s="27"/>
      <c r="C846" s="27"/>
      <c r="D846" s="27"/>
      <c r="E846" s="27"/>
      <c r="H846" s="27"/>
      <c r="I846" s="27"/>
      <c r="J846" s="27"/>
      <c r="K846" s="27"/>
    </row>
    <row r="847" spans="2:12" x14ac:dyDescent="0.25">
      <c r="B847" s="27"/>
      <c r="C847" s="27"/>
      <c r="D847" s="27"/>
      <c r="E847" s="27"/>
      <c r="H847" s="27"/>
      <c r="I847" s="27"/>
      <c r="J847" s="27"/>
      <c r="K847" s="27"/>
    </row>
    <row r="848" spans="2:12" ht="15.75" thickBot="1" x14ac:dyDescent="0.3"/>
    <row r="849" spans="2:12" x14ac:dyDescent="0.25">
      <c r="B849" s="1"/>
      <c r="C849" s="2"/>
      <c r="D849" s="3">
        <v>45418</v>
      </c>
      <c r="E849" s="2"/>
      <c r="F849" s="4"/>
      <c r="H849" s="1"/>
      <c r="I849" s="2"/>
      <c r="J849" s="3">
        <v>45425</v>
      </c>
      <c r="K849" s="2"/>
      <c r="L849" s="4"/>
    </row>
    <row r="850" spans="2:12" x14ac:dyDescent="0.25">
      <c r="B850" s="5"/>
      <c r="D850" s="6"/>
      <c r="F850" s="7"/>
      <c r="H850" s="5"/>
      <c r="J850" s="6"/>
      <c r="L850" s="7"/>
    </row>
    <row r="851" spans="2:12" x14ac:dyDescent="0.25">
      <c r="B851" s="5"/>
      <c r="C851" s="8" t="s">
        <v>0</v>
      </c>
      <c r="D851" s="9"/>
      <c r="E851" s="9"/>
      <c r="F851" s="10"/>
      <c r="H851" s="5"/>
      <c r="I851" s="8" t="s">
        <v>0</v>
      </c>
      <c r="J851" s="9"/>
      <c r="K851" s="9"/>
      <c r="L851" s="10"/>
    </row>
    <row r="852" spans="2:12" x14ac:dyDescent="0.25">
      <c r="B852" s="5"/>
      <c r="C852" s="11" t="s">
        <v>1</v>
      </c>
      <c r="D852" s="12"/>
      <c r="E852" s="12"/>
      <c r="F852" s="13"/>
      <c r="H852" s="5"/>
      <c r="I852" s="11" t="s">
        <v>1</v>
      </c>
      <c r="J852" s="12"/>
      <c r="K852" s="12"/>
      <c r="L852" s="13"/>
    </row>
    <row r="853" spans="2:12" x14ac:dyDescent="0.25">
      <c r="B853" s="5"/>
      <c r="C853" s="14"/>
      <c r="D853" t="s">
        <v>2</v>
      </c>
      <c r="F853" s="7" t="s">
        <v>3</v>
      </c>
      <c r="H853" s="5"/>
      <c r="I853" s="14"/>
      <c r="J853" t="s">
        <v>2</v>
      </c>
      <c r="L853" s="7" t="s">
        <v>3</v>
      </c>
    </row>
    <row r="854" spans="2:12" x14ac:dyDescent="0.25">
      <c r="B854" s="5"/>
      <c r="C854" s="14" t="s">
        <v>4</v>
      </c>
      <c r="D854">
        <v>5106.9642000000003</v>
      </c>
      <c r="F854" s="15">
        <v>5.1499999999999997E-2</v>
      </c>
      <c r="H854" s="5"/>
      <c r="I854" s="14" t="s">
        <v>4</v>
      </c>
      <c r="J854">
        <v>5137.1701000000003</v>
      </c>
      <c r="L854" s="15">
        <v>5.1749999999999997E-2</v>
      </c>
    </row>
    <row r="855" spans="2:12" x14ac:dyDescent="0.25">
      <c r="B855" s="5"/>
      <c r="C855" s="14" t="s">
        <v>5</v>
      </c>
      <c r="D855">
        <v>1162.1063999999999</v>
      </c>
      <c r="F855" s="15">
        <v>0.10911999999999999</v>
      </c>
      <c r="H855" s="5"/>
      <c r="I855" s="14" t="s">
        <v>5</v>
      </c>
      <c r="J855">
        <v>1169.7597000000001</v>
      </c>
      <c r="L855" s="15">
        <v>0.10996</v>
      </c>
    </row>
    <row r="856" spans="2:12" ht="15.75" thickBot="1" x14ac:dyDescent="0.3">
      <c r="B856" s="5"/>
      <c r="C856" s="16" t="s">
        <v>6</v>
      </c>
      <c r="D856">
        <v>1235.9087999999999</v>
      </c>
      <c r="E856" s="17"/>
      <c r="F856" s="18">
        <v>0.16528000000000001</v>
      </c>
      <c r="H856" s="5"/>
      <c r="I856" s="16" t="s">
        <v>6</v>
      </c>
      <c r="J856">
        <v>1243.1488999999999</v>
      </c>
      <c r="K856" s="17"/>
      <c r="L856" s="18">
        <v>0.16624</v>
      </c>
    </row>
    <row r="857" spans="2:12" ht="15.75" thickBot="1" x14ac:dyDescent="0.3">
      <c r="B857" s="5"/>
      <c r="D857" s="19"/>
      <c r="F857" s="19"/>
      <c r="H857" s="5"/>
      <c r="J857" s="19"/>
      <c r="L857" s="19"/>
    </row>
    <row r="858" spans="2:12" x14ac:dyDescent="0.25">
      <c r="B858" s="5"/>
      <c r="C858" s="8" t="s">
        <v>7</v>
      </c>
      <c r="D858" s="12"/>
      <c r="E858" s="9"/>
      <c r="F858" s="10"/>
      <c r="H858" s="5"/>
      <c r="I858" s="8" t="s">
        <v>7</v>
      </c>
      <c r="J858" s="12"/>
      <c r="K858" s="9"/>
      <c r="L858" s="10"/>
    </row>
    <row r="859" spans="2:12" x14ac:dyDescent="0.25">
      <c r="B859" s="5"/>
      <c r="C859" s="11" t="s">
        <v>1</v>
      </c>
      <c r="D859" s="12"/>
      <c r="E859" s="12"/>
      <c r="F859" s="13"/>
      <c r="H859" s="5"/>
      <c r="I859" s="11" t="s">
        <v>1</v>
      </c>
      <c r="J859" s="12"/>
      <c r="K859" s="12"/>
      <c r="L859" s="13"/>
    </row>
    <row r="860" spans="2:12" x14ac:dyDescent="0.25">
      <c r="B860" s="5"/>
      <c r="C860" s="14"/>
      <c r="D860" t="s">
        <v>2</v>
      </c>
      <c r="F860" s="7" t="s">
        <v>3</v>
      </c>
      <c r="H860" s="5"/>
      <c r="I860" s="14"/>
      <c r="J860" t="s">
        <v>2</v>
      </c>
      <c r="L860" s="7" t="s">
        <v>3</v>
      </c>
    </row>
    <row r="861" spans="2:12" x14ac:dyDescent="0.25">
      <c r="B861" s="5"/>
      <c r="C861" s="14" t="s">
        <v>4</v>
      </c>
      <c r="D861">
        <v>1187.3780999999999</v>
      </c>
      <c r="F861" s="20">
        <v>3188.8591999999999</v>
      </c>
      <c r="H861" s="5"/>
      <c r="I861" s="14" t="s">
        <v>4</v>
      </c>
      <c r="J861">
        <v>1196.1872000000001</v>
      </c>
      <c r="L861" s="20">
        <v>3217.2266</v>
      </c>
    </row>
    <row r="862" spans="2:12" x14ac:dyDescent="0.25">
      <c r="B862" s="5"/>
      <c r="C862" s="14" t="s">
        <v>5</v>
      </c>
      <c r="D862">
        <v>648.85069999999996</v>
      </c>
      <c r="F862" s="21">
        <v>1054.74</v>
      </c>
      <c r="H862" s="5"/>
      <c r="I862" s="14" t="s">
        <v>5</v>
      </c>
      <c r="J862">
        <v>654.72829999999999</v>
      </c>
      <c r="L862" s="21">
        <v>1062.4335000000001</v>
      </c>
    </row>
    <row r="863" spans="2:12" ht="15.75" thickBot="1" x14ac:dyDescent="0.3">
      <c r="B863" s="5"/>
      <c r="C863" s="16" t="s">
        <v>6</v>
      </c>
      <c r="D863">
        <v>785.01400000000001</v>
      </c>
      <c r="E863" s="17"/>
      <c r="F863" s="21">
        <v>1251.0812000000001</v>
      </c>
      <c r="H863" s="5"/>
      <c r="I863" s="16" t="s">
        <v>6</v>
      </c>
      <c r="J863">
        <v>790.86249999999995</v>
      </c>
      <c r="K863" s="17"/>
      <c r="L863" s="21">
        <v>1253.9431</v>
      </c>
    </row>
    <row r="864" spans="2:12" ht="15.75" thickBot="1" x14ac:dyDescent="0.3">
      <c r="B864" s="5"/>
      <c r="D864" s="19"/>
      <c r="F864" s="19"/>
      <c r="H864" s="5"/>
      <c r="J864" s="19"/>
      <c r="L864" s="19"/>
    </row>
    <row r="865" spans="2:12" x14ac:dyDescent="0.25">
      <c r="B865" s="22" t="s">
        <v>8</v>
      </c>
      <c r="C865" s="23"/>
      <c r="D865" s="23"/>
      <c r="E865" s="23"/>
      <c r="F865" s="7"/>
      <c r="H865" s="22" t="s">
        <v>8</v>
      </c>
      <c r="I865" s="23"/>
      <c r="J865" s="23"/>
      <c r="K865" s="23"/>
      <c r="L865" s="7"/>
    </row>
    <row r="866" spans="2:12" ht="15.75" thickBot="1" x14ac:dyDescent="0.3">
      <c r="B866" s="24" t="s">
        <v>9</v>
      </c>
      <c r="C866" s="25"/>
      <c r="D866" s="25"/>
      <c r="E866" s="25"/>
      <c r="F866" s="26"/>
      <c r="H866" s="24" t="s">
        <v>9</v>
      </c>
      <c r="I866" s="25"/>
      <c r="J866" s="25"/>
      <c r="K866" s="25"/>
      <c r="L866" s="26"/>
    </row>
    <row r="867" spans="2:12" x14ac:dyDescent="0.25">
      <c r="B867" s="27" t="s">
        <v>10</v>
      </c>
      <c r="C867" s="27"/>
      <c r="D867" s="27"/>
      <c r="E867" s="27"/>
      <c r="H867" s="27" t="s">
        <v>10</v>
      </c>
      <c r="I867" s="27"/>
      <c r="J867" s="27"/>
      <c r="K867" s="27"/>
    </row>
    <row r="868" spans="2:12" x14ac:dyDescent="0.25">
      <c r="B868" s="27"/>
      <c r="C868" s="27"/>
      <c r="D868" s="27"/>
      <c r="E868" s="27"/>
      <c r="H868" s="27"/>
      <c r="I868" s="27"/>
      <c r="J868" s="27"/>
      <c r="K868" s="27"/>
    </row>
    <row r="869" spans="2:12" x14ac:dyDescent="0.25">
      <c r="B869" s="27"/>
      <c r="C869" s="27"/>
      <c r="D869" s="27"/>
      <c r="E869" s="27"/>
      <c r="H869" s="27"/>
      <c r="I869" s="27"/>
      <c r="J869" s="27"/>
      <c r="K869" s="27"/>
    </row>
    <row r="870" spans="2:12" ht="15.75" thickBot="1" x14ac:dyDescent="0.3"/>
    <row r="871" spans="2:12" x14ac:dyDescent="0.25">
      <c r="B871" s="1"/>
      <c r="C871" s="2"/>
      <c r="D871" s="3">
        <v>45432</v>
      </c>
      <c r="E871" s="2"/>
      <c r="F871" s="4"/>
      <c r="H871" s="1"/>
      <c r="I871" s="2"/>
      <c r="J871" s="3">
        <v>45439</v>
      </c>
      <c r="K871" s="2"/>
      <c r="L871" s="4"/>
    </row>
    <row r="872" spans="2:12" x14ac:dyDescent="0.25">
      <c r="B872" s="5"/>
      <c r="D872" s="6"/>
      <c r="F872" s="7"/>
      <c r="H872" s="5"/>
      <c r="J872" s="6"/>
      <c r="L872" s="7"/>
    </row>
    <row r="873" spans="2:12" x14ac:dyDescent="0.25">
      <c r="B873" s="5"/>
      <c r="C873" s="8" t="s">
        <v>0</v>
      </c>
      <c r="D873" s="9"/>
      <c r="E873" s="9"/>
      <c r="F873" s="10"/>
      <c r="H873" s="5"/>
      <c r="I873" s="8" t="s">
        <v>0</v>
      </c>
      <c r="J873" s="9"/>
      <c r="K873" s="9"/>
      <c r="L873" s="10"/>
    </row>
    <row r="874" spans="2:12" x14ac:dyDescent="0.25">
      <c r="B874" s="5"/>
      <c r="C874" s="11" t="s">
        <v>1</v>
      </c>
      <c r="D874" s="12"/>
      <c r="E874" s="12"/>
      <c r="F874" s="13"/>
      <c r="H874" s="5"/>
      <c r="I874" s="11" t="s">
        <v>1</v>
      </c>
      <c r="J874" s="12"/>
      <c r="K874" s="12"/>
      <c r="L874" s="13"/>
    </row>
    <row r="875" spans="2:12" x14ac:dyDescent="0.25">
      <c r="B875" s="5"/>
      <c r="C875" s="14"/>
      <c r="D875" t="s">
        <v>2</v>
      </c>
      <c r="F875" s="7" t="s">
        <v>3</v>
      </c>
      <c r="H875" s="5"/>
      <c r="I875" s="14"/>
      <c r="J875" t="s">
        <v>2</v>
      </c>
      <c r="L875" s="7" t="s">
        <v>3</v>
      </c>
    </row>
    <row r="876" spans="2:12" x14ac:dyDescent="0.25">
      <c r="B876" s="5"/>
      <c r="C876" s="14" t="s">
        <v>4</v>
      </c>
      <c r="D876">
        <v>5167.3760000000002</v>
      </c>
      <c r="F876" s="15">
        <v>5.1999999999999998E-2</v>
      </c>
      <c r="H876" s="5"/>
      <c r="I876" s="14" t="s">
        <v>4</v>
      </c>
      <c r="J876">
        <v>5197.5819000000001</v>
      </c>
      <c r="L876" s="15">
        <v>5.2249999999999998E-2</v>
      </c>
    </row>
    <row r="877" spans="2:12" x14ac:dyDescent="0.25">
      <c r="B877" s="5"/>
      <c r="C877" s="14" t="s">
        <v>5</v>
      </c>
      <c r="D877">
        <v>1177.413</v>
      </c>
      <c r="F877" s="15">
        <v>0.1108</v>
      </c>
      <c r="H877" s="5"/>
      <c r="I877" s="14" t="s">
        <v>5</v>
      </c>
      <c r="J877">
        <v>1185.0663</v>
      </c>
      <c r="L877" s="15">
        <v>0.11164</v>
      </c>
    </row>
    <row r="878" spans="2:12" ht="15.75" thickBot="1" x14ac:dyDescent="0.3">
      <c r="B878" s="5"/>
      <c r="C878" s="16" t="s">
        <v>6</v>
      </c>
      <c r="D878">
        <v>1250.3889999999999</v>
      </c>
      <c r="E878" s="17"/>
      <c r="F878" s="18">
        <v>0.16719999999999999</v>
      </c>
      <c r="H878" s="5"/>
      <c r="I878" s="16" t="s">
        <v>6</v>
      </c>
      <c r="J878">
        <v>1257.6291000000001</v>
      </c>
      <c r="K878" s="17"/>
      <c r="L878" s="18">
        <v>0.16816</v>
      </c>
    </row>
    <row r="879" spans="2:12" ht="15.75" thickBot="1" x14ac:dyDescent="0.3">
      <c r="B879" s="5"/>
      <c r="D879" s="19"/>
      <c r="F879" s="19"/>
      <c r="H879" s="5"/>
      <c r="J879" s="19"/>
      <c r="L879" s="19"/>
    </row>
    <row r="880" spans="2:12" x14ac:dyDescent="0.25">
      <c r="B880" s="5"/>
      <c r="C880" s="8" t="s">
        <v>7</v>
      </c>
      <c r="D880" s="12"/>
      <c r="E880" s="9"/>
      <c r="F880" s="10"/>
      <c r="H880" s="5"/>
      <c r="I880" s="8" t="s">
        <v>7</v>
      </c>
      <c r="J880" s="12"/>
      <c r="K880" s="9"/>
      <c r="L880" s="10"/>
    </row>
    <row r="881" spans="2:12" x14ac:dyDescent="0.25">
      <c r="B881" s="5"/>
      <c r="C881" s="11" t="s">
        <v>1</v>
      </c>
      <c r="D881" s="12"/>
      <c r="E881" s="12"/>
      <c r="F881" s="13"/>
      <c r="H881" s="5"/>
      <c r="I881" s="11" t="s">
        <v>1</v>
      </c>
      <c r="J881" s="12"/>
      <c r="K881" s="12"/>
      <c r="L881" s="13"/>
    </row>
    <row r="882" spans="2:12" x14ac:dyDescent="0.25">
      <c r="B882" s="5"/>
      <c r="C882" s="14"/>
      <c r="D882" t="s">
        <v>2</v>
      </c>
      <c r="F882" s="7" t="s">
        <v>3</v>
      </c>
      <c r="H882" s="5"/>
      <c r="I882" s="14"/>
      <c r="J882" t="s">
        <v>2</v>
      </c>
      <c r="L882" s="7" t="s">
        <v>3</v>
      </c>
    </row>
    <row r="883" spans="2:12" x14ac:dyDescent="0.25">
      <c r="B883" s="5"/>
      <c r="C883" s="14" t="s">
        <v>4</v>
      </c>
      <c r="D883">
        <v>1204.9963</v>
      </c>
      <c r="F883" s="20">
        <v>3245.5940000000001</v>
      </c>
      <c r="H883" s="5"/>
      <c r="I883" s="14" t="s">
        <v>4</v>
      </c>
      <c r="J883">
        <v>1213.8054</v>
      </c>
      <c r="L883" s="20">
        <v>3273.9614000000001</v>
      </c>
    </row>
    <row r="884" spans="2:12" x14ac:dyDescent="0.25">
      <c r="B884" s="5"/>
      <c r="C884" s="14" t="s">
        <v>5</v>
      </c>
      <c r="D884">
        <v>660.60590000000002</v>
      </c>
      <c r="F884" s="21">
        <v>1070.127</v>
      </c>
      <c r="H884" s="5"/>
      <c r="I884" s="14" t="s">
        <v>5</v>
      </c>
      <c r="J884">
        <v>666.48350000000005</v>
      </c>
      <c r="L884" s="21">
        <v>1077.8205</v>
      </c>
    </row>
    <row r="885" spans="2:12" ht="15.75" thickBot="1" x14ac:dyDescent="0.3">
      <c r="B885" s="5"/>
      <c r="C885" s="16" t="s">
        <v>6</v>
      </c>
      <c r="D885">
        <v>796.71100000000001</v>
      </c>
      <c r="E885" s="17"/>
      <c r="F885" s="21">
        <v>1256.8050000000001</v>
      </c>
      <c r="H885" s="5"/>
      <c r="I885" s="16" t="s">
        <v>6</v>
      </c>
      <c r="J885">
        <v>802.55949999999996</v>
      </c>
      <c r="K885" s="17"/>
      <c r="L885" s="21">
        <v>1259.6668999999999</v>
      </c>
    </row>
    <row r="886" spans="2:12" ht="15.75" thickBot="1" x14ac:dyDescent="0.3">
      <c r="B886" s="5"/>
      <c r="D886" s="19"/>
      <c r="F886" s="19"/>
      <c r="H886" s="5"/>
      <c r="J886" s="19">
        <f>SUM(J883:J885)</f>
        <v>2682.8483999999999</v>
      </c>
      <c r="L886" s="19">
        <f>SUM(L883:L885)</f>
        <v>5611.4488000000001</v>
      </c>
    </row>
    <row r="887" spans="2:12" x14ac:dyDescent="0.25">
      <c r="B887" s="22" t="s">
        <v>8</v>
      </c>
      <c r="C887" s="23"/>
      <c r="D887" s="23"/>
      <c r="E887" s="23"/>
      <c r="F887" s="7"/>
      <c r="H887" s="22" t="s">
        <v>8</v>
      </c>
      <c r="I887" s="23"/>
      <c r="J887" s="23"/>
      <c r="K887" s="23"/>
      <c r="L887" s="7"/>
    </row>
    <row r="888" spans="2:12" ht="15.75" thickBot="1" x14ac:dyDescent="0.3">
      <c r="B888" s="24" t="s">
        <v>9</v>
      </c>
      <c r="C888" s="25"/>
      <c r="D888" s="25"/>
      <c r="E888" s="25"/>
      <c r="F888" s="26"/>
      <c r="H888" s="24" t="s">
        <v>9</v>
      </c>
      <c r="I888" s="25"/>
      <c r="J888" s="25"/>
      <c r="K888" s="25"/>
      <c r="L888" s="26"/>
    </row>
    <row r="889" spans="2:12" x14ac:dyDescent="0.25">
      <c r="B889" s="27" t="s">
        <v>10</v>
      </c>
      <c r="C889" s="27"/>
      <c r="D889" s="27"/>
      <c r="E889" s="27"/>
      <c r="H889" s="27" t="s">
        <v>10</v>
      </c>
      <c r="I889" s="27"/>
      <c r="J889" s="27"/>
      <c r="K889" s="27"/>
    </row>
    <row r="890" spans="2:12" x14ac:dyDescent="0.25">
      <c r="B890" s="27"/>
      <c r="C890" s="27"/>
      <c r="D890" s="27"/>
      <c r="E890" s="27"/>
      <c r="H890" s="27"/>
      <c r="I890" s="27"/>
      <c r="J890" s="27"/>
      <c r="K890" s="27"/>
    </row>
    <row r="891" spans="2:12" x14ac:dyDescent="0.25">
      <c r="B891" s="27"/>
      <c r="C891" s="27"/>
      <c r="D891" s="27"/>
      <c r="E891" s="27"/>
      <c r="H891" s="27"/>
      <c r="I891" s="27"/>
      <c r="J891" s="27"/>
      <c r="K891" s="27"/>
    </row>
    <row r="892" spans="2:12" ht="15.75" thickBot="1" x14ac:dyDescent="0.3"/>
    <row r="893" spans="2:12" x14ac:dyDescent="0.25">
      <c r="B893" s="1"/>
      <c r="C893" s="2"/>
      <c r="D893" s="3">
        <v>45446</v>
      </c>
      <c r="E893" s="2"/>
      <c r="F893" s="4"/>
      <c r="H893" s="1"/>
      <c r="I893" s="2"/>
      <c r="J893" s="3">
        <v>45453</v>
      </c>
      <c r="K893" s="2"/>
      <c r="L893" s="4"/>
    </row>
    <row r="894" spans="2:12" x14ac:dyDescent="0.25">
      <c r="B894" s="5"/>
      <c r="D894" s="6"/>
      <c r="F894" s="7"/>
      <c r="H894" s="5"/>
      <c r="J894" s="6"/>
      <c r="L894" s="7"/>
    </row>
    <row r="895" spans="2:12" x14ac:dyDescent="0.25">
      <c r="B895" s="5"/>
      <c r="C895" s="8" t="s">
        <v>0</v>
      </c>
      <c r="D895" s="9"/>
      <c r="E895" s="9"/>
      <c r="F895" s="10"/>
      <c r="H895" s="5"/>
      <c r="I895" s="8" t="s">
        <v>0</v>
      </c>
      <c r="J895" s="9"/>
      <c r="K895" s="9"/>
      <c r="L895" s="10"/>
    </row>
    <row r="896" spans="2:12" x14ac:dyDescent="0.25">
      <c r="B896" s="5"/>
      <c r="C896" s="11" t="s">
        <v>1</v>
      </c>
      <c r="D896" s="12"/>
      <c r="E896" s="12"/>
      <c r="F896" s="13"/>
      <c r="H896" s="5"/>
      <c r="I896" s="11" t="s">
        <v>1</v>
      </c>
      <c r="J896" s="12"/>
      <c r="K896" s="12"/>
      <c r="L896" s="13"/>
    </row>
    <row r="897" spans="2:12" x14ac:dyDescent="0.25">
      <c r="B897" s="5"/>
      <c r="C897" s="14"/>
      <c r="D897" t="s">
        <v>2</v>
      </c>
      <c r="F897" s="7" t="s">
        <v>3</v>
      </c>
      <c r="H897" s="5"/>
      <c r="I897" s="14"/>
      <c r="J897" t="s">
        <v>2</v>
      </c>
      <c r="L897" s="7" t="s">
        <v>3</v>
      </c>
    </row>
    <row r="898" spans="2:12" x14ac:dyDescent="0.25">
      <c r="B898" s="5"/>
      <c r="C898" s="14" t="s">
        <v>4</v>
      </c>
      <c r="D898">
        <v>5227.7878000000001</v>
      </c>
      <c r="F898" s="15">
        <v>5.2499999999999998E-2</v>
      </c>
      <c r="H898" s="5"/>
      <c r="I898" s="14" t="s">
        <v>4</v>
      </c>
      <c r="J898">
        <v>5257.9937</v>
      </c>
      <c r="L898" s="15">
        <v>5.2749999999999998E-2</v>
      </c>
    </row>
    <row r="899" spans="2:12" x14ac:dyDescent="0.25">
      <c r="B899" s="5"/>
      <c r="C899" s="14" t="s">
        <v>5</v>
      </c>
      <c r="D899">
        <v>1192.7195999999999</v>
      </c>
      <c r="F899" s="15">
        <v>0.11248</v>
      </c>
      <c r="H899" s="5"/>
      <c r="I899" s="14" t="s">
        <v>5</v>
      </c>
      <c r="J899">
        <v>1200.3729000000001</v>
      </c>
      <c r="L899" s="15">
        <v>0.11332</v>
      </c>
    </row>
    <row r="900" spans="2:12" ht="15.75" thickBot="1" x14ac:dyDescent="0.3">
      <c r="B900" s="5"/>
      <c r="C900" s="16" t="s">
        <v>6</v>
      </c>
      <c r="D900">
        <v>1264.8692000000001</v>
      </c>
      <c r="E900" s="17"/>
      <c r="F900" s="18">
        <v>0.16911999999999999</v>
      </c>
      <c r="H900" s="5"/>
      <c r="I900" s="16" t="s">
        <v>6</v>
      </c>
      <c r="J900">
        <v>1272.1093000000001</v>
      </c>
      <c r="K900" s="17"/>
      <c r="L900" s="18">
        <v>0.17008000000000001</v>
      </c>
    </row>
    <row r="901" spans="2:12" ht="15.75" thickBot="1" x14ac:dyDescent="0.3">
      <c r="B901" s="5"/>
      <c r="D901" s="19"/>
      <c r="F901" s="19"/>
      <c r="H901" s="5"/>
      <c r="J901" s="19"/>
      <c r="L901" s="19"/>
    </row>
    <row r="902" spans="2:12" x14ac:dyDescent="0.25">
      <c r="B902" s="5"/>
      <c r="C902" s="8" t="s">
        <v>7</v>
      </c>
      <c r="D902" s="12"/>
      <c r="E902" s="9"/>
      <c r="F902" s="10"/>
      <c r="H902" s="5"/>
      <c r="I902" s="8" t="s">
        <v>7</v>
      </c>
      <c r="J902" s="12"/>
      <c r="K902" s="9"/>
      <c r="L902" s="10"/>
    </row>
    <row r="903" spans="2:12" x14ac:dyDescent="0.25">
      <c r="B903" s="5"/>
      <c r="C903" s="11" t="s">
        <v>1</v>
      </c>
      <c r="D903" s="12"/>
      <c r="E903" s="12"/>
      <c r="F903" s="13"/>
      <c r="H903" s="5"/>
      <c r="I903" s="11" t="s">
        <v>1</v>
      </c>
      <c r="J903" s="12"/>
      <c r="K903" s="12"/>
      <c r="L903" s="13"/>
    </row>
    <row r="904" spans="2:12" x14ac:dyDescent="0.25">
      <c r="B904" s="5"/>
      <c r="C904" s="14"/>
      <c r="D904" t="s">
        <v>2</v>
      </c>
      <c r="F904" s="7" t="s">
        <v>3</v>
      </c>
      <c r="H904" s="5"/>
      <c r="I904" s="14"/>
      <c r="J904" t="s">
        <v>2</v>
      </c>
      <c r="L904" s="7" t="s">
        <v>3</v>
      </c>
    </row>
    <row r="905" spans="2:12" x14ac:dyDescent="0.25">
      <c r="B905" s="5"/>
      <c r="C905" s="14" t="s">
        <v>4</v>
      </c>
      <c r="D905">
        <v>1222.6144999999999</v>
      </c>
      <c r="F905" s="20">
        <v>3302.3287999999998</v>
      </c>
      <c r="H905" s="5"/>
      <c r="I905" s="14" t="s">
        <v>4</v>
      </c>
      <c r="J905">
        <v>1231.4236000000001</v>
      </c>
      <c r="L905" s="20">
        <v>3330.6961999999999</v>
      </c>
    </row>
    <row r="906" spans="2:12" x14ac:dyDescent="0.25">
      <c r="B906" s="5"/>
      <c r="C906" s="14" t="s">
        <v>5</v>
      </c>
      <c r="D906">
        <v>672.36109999999996</v>
      </c>
      <c r="F906" s="21">
        <v>1085.5139999999999</v>
      </c>
      <c r="H906" s="5"/>
      <c r="I906" s="14" t="s">
        <v>5</v>
      </c>
      <c r="J906">
        <v>678.23869999999999</v>
      </c>
      <c r="L906" s="21">
        <v>1093.2075</v>
      </c>
    </row>
    <row r="907" spans="2:12" ht="15.75" thickBot="1" x14ac:dyDescent="0.3">
      <c r="B907" s="5"/>
      <c r="C907" s="16" t="s">
        <v>6</v>
      </c>
      <c r="D907">
        <v>808.40800000000002</v>
      </c>
      <c r="E907" s="17"/>
      <c r="F907" s="21">
        <v>1262.5288</v>
      </c>
      <c r="H907" s="5"/>
      <c r="I907" s="16" t="s">
        <v>6</v>
      </c>
      <c r="J907">
        <v>814.25649999999996</v>
      </c>
      <c r="K907" s="17"/>
      <c r="L907" s="21">
        <v>1265.3906999999999</v>
      </c>
    </row>
    <row r="908" spans="2:12" ht="15.75" thickBot="1" x14ac:dyDescent="0.3">
      <c r="B908" s="5"/>
      <c r="D908" s="19"/>
      <c r="F908" s="19"/>
      <c r="H908" s="5"/>
      <c r="J908" s="19"/>
      <c r="L908" s="19"/>
    </row>
    <row r="909" spans="2:12" x14ac:dyDescent="0.25">
      <c r="B909" s="22" t="s">
        <v>8</v>
      </c>
      <c r="C909" s="23"/>
      <c r="D909" s="23"/>
      <c r="E909" s="23"/>
      <c r="F909" s="7"/>
      <c r="H909" s="22" t="s">
        <v>8</v>
      </c>
      <c r="I909" s="23"/>
      <c r="J909" s="23"/>
      <c r="K909" s="23"/>
      <c r="L909" s="7"/>
    </row>
    <row r="910" spans="2:12" ht="15.75" thickBot="1" x14ac:dyDescent="0.3">
      <c r="B910" s="24" t="s">
        <v>9</v>
      </c>
      <c r="C910" s="25"/>
      <c r="D910" s="25"/>
      <c r="E910" s="25"/>
      <c r="F910" s="26"/>
      <c r="H910" s="24" t="s">
        <v>9</v>
      </c>
      <c r="I910" s="25"/>
      <c r="J910" s="25"/>
      <c r="K910" s="25"/>
      <c r="L910" s="26"/>
    </row>
    <row r="911" spans="2:12" x14ac:dyDescent="0.25">
      <c r="B911" s="27" t="s">
        <v>10</v>
      </c>
      <c r="C911" s="27"/>
      <c r="D911" s="27"/>
      <c r="E911" s="27"/>
      <c r="H911" s="27" t="s">
        <v>10</v>
      </c>
      <c r="I911" s="27"/>
      <c r="J911" s="27"/>
      <c r="K911" s="27"/>
    </row>
    <row r="914" spans="2:12" ht="15.75" thickBot="1" x14ac:dyDescent="0.3"/>
    <row r="915" spans="2:12" x14ac:dyDescent="0.25">
      <c r="B915" s="1"/>
      <c r="C915" s="2"/>
      <c r="D915" s="3">
        <v>45460</v>
      </c>
      <c r="E915" s="2"/>
      <c r="F915" s="4"/>
      <c r="H915" s="1"/>
      <c r="I915" s="2"/>
      <c r="J915" s="3">
        <v>45467</v>
      </c>
      <c r="K915" s="2"/>
      <c r="L915" s="4"/>
    </row>
    <row r="916" spans="2:12" x14ac:dyDescent="0.25">
      <c r="B916" s="5"/>
      <c r="D916" s="6"/>
      <c r="F916" s="7"/>
      <c r="H916" s="5"/>
      <c r="J916" s="6"/>
      <c r="L916" s="7"/>
    </row>
    <row r="917" spans="2:12" x14ac:dyDescent="0.25">
      <c r="B917" s="5"/>
      <c r="C917" s="8" t="s">
        <v>0</v>
      </c>
      <c r="D917" s="9"/>
      <c r="E917" s="9"/>
      <c r="F917" s="10"/>
      <c r="H917" s="5"/>
      <c r="I917" s="8" t="s">
        <v>0</v>
      </c>
      <c r="J917" s="9"/>
      <c r="K917" s="9"/>
      <c r="L917" s="10"/>
    </row>
    <row r="918" spans="2:12" x14ac:dyDescent="0.25">
      <c r="B918" s="5"/>
      <c r="C918" s="11" t="s">
        <v>1</v>
      </c>
      <c r="D918" s="12"/>
      <c r="E918" s="12"/>
      <c r="F918" s="13"/>
      <c r="H918" s="5"/>
      <c r="I918" s="11" t="s">
        <v>1</v>
      </c>
      <c r="J918" s="12"/>
      <c r="K918" s="12"/>
      <c r="L918" s="13"/>
    </row>
    <row r="919" spans="2:12" x14ac:dyDescent="0.25">
      <c r="B919" s="5"/>
      <c r="C919" s="14"/>
      <c r="D919" t="s">
        <v>2</v>
      </c>
      <c r="F919" s="7" t="s">
        <v>3</v>
      </c>
      <c r="H919" s="5"/>
      <c r="I919" s="14"/>
      <c r="J919" t="s">
        <v>2</v>
      </c>
      <c r="L919" s="7" t="s">
        <v>3</v>
      </c>
    </row>
    <row r="920" spans="2:12" x14ac:dyDescent="0.25">
      <c r="B920" s="5"/>
      <c r="C920" s="14" t="s">
        <v>4</v>
      </c>
      <c r="D920">
        <v>5288.1995999999999</v>
      </c>
      <c r="F920" s="15">
        <v>5.2999999999999999E-2</v>
      </c>
      <c r="H920" s="5"/>
      <c r="I920" s="14" t="s">
        <v>4</v>
      </c>
      <c r="J920">
        <v>5318.4054999999998</v>
      </c>
      <c r="L920" s="15">
        <v>5.3249999999999999E-2</v>
      </c>
    </row>
    <row r="921" spans="2:12" x14ac:dyDescent="0.25">
      <c r="B921" s="5"/>
      <c r="C921" s="14" t="s">
        <v>5</v>
      </c>
      <c r="D921">
        <v>1208.0262</v>
      </c>
      <c r="F921" s="15">
        <v>0.11416</v>
      </c>
      <c r="H921" s="5"/>
      <c r="I921" s="14" t="s">
        <v>5</v>
      </c>
      <c r="J921">
        <v>1215.6795</v>
      </c>
      <c r="L921" s="15">
        <v>0.115</v>
      </c>
    </row>
    <row r="922" spans="2:12" ht="15.75" thickBot="1" x14ac:dyDescent="0.3">
      <c r="B922" s="5"/>
      <c r="C922" s="16" t="s">
        <v>6</v>
      </c>
      <c r="D922">
        <v>1279.3494000000001</v>
      </c>
      <c r="E922" s="17"/>
      <c r="F922" s="18">
        <v>0.17104</v>
      </c>
      <c r="H922" s="5"/>
      <c r="I922" s="16" t="s">
        <v>6</v>
      </c>
      <c r="J922">
        <v>1286.5895</v>
      </c>
      <c r="K922" s="17"/>
      <c r="L922" s="18">
        <v>0.17199999999999999</v>
      </c>
    </row>
    <row r="923" spans="2:12" ht="15.75" thickBot="1" x14ac:dyDescent="0.3">
      <c r="B923" s="5"/>
      <c r="D923" s="19"/>
      <c r="F923" s="19"/>
      <c r="H923" s="5"/>
      <c r="J923" s="19"/>
      <c r="L923" s="19"/>
    </row>
    <row r="924" spans="2:12" x14ac:dyDescent="0.25">
      <c r="B924" s="5"/>
      <c r="C924" s="8" t="s">
        <v>7</v>
      </c>
      <c r="D924" s="12"/>
      <c r="E924" s="9"/>
      <c r="F924" s="10"/>
      <c r="H924" s="5"/>
      <c r="I924" s="8" t="s">
        <v>7</v>
      </c>
      <c r="J924" s="12"/>
      <c r="K924" s="9"/>
      <c r="L924" s="10"/>
    </row>
    <row r="925" spans="2:12" x14ac:dyDescent="0.25">
      <c r="B925" s="5"/>
      <c r="C925" s="11" t="s">
        <v>1</v>
      </c>
      <c r="D925" s="12"/>
      <c r="E925" s="12"/>
      <c r="F925" s="13"/>
      <c r="H925" s="5"/>
      <c r="I925" s="11" t="s">
        <v>1</v>
      </c>
      <c r="J925" s="12"/>
      <c r="K925" s="12"/>
      <c r="L925" s="13"/>
    </row>
    <row r="926" spans="2:12" x14ac:dyDescent="0.25">
      <c r="B926" s="5"/>
      <c r="C926" s="14"/>
      <c r="D926" t="s">
        <v>2</v>
      </c>
      <c r="F926" s="7" t="s">
        <v>3</v>
      </c>
      <c r="H926" s="5"/>
      <c r="I926" s="14"/>
      <c r="J926" t="s">
        <v>2</v>
      </c>
      <c r="L926" s="7" t="s">
        <v>3</v>
      </c>
    </row>
    <row r="927" spans="2:12" x14ac:dyDescent="0.25">
      <c r="B927" s="5"/>
      <c r="C927" s="14" t="s">
        <v>4</v>
      </c>
      <c r="D927">
        <v>1240.2327</v>
      </c>
      <c r="F927" s="20">
        <v>3359.0636</v>
      </c>
      <c r="H927" s="5"/>
      <c r="I927" s="14" t="s">
        <v>4</v>
      </c>
      <c r="J927">
        <v>1249.0418</v>
      </c>
      <c r="L927" s="20">
        <v>3387.431</v>
      </c>
    </row>
    <row r="928" spans="2:12" x14ac:dyDescent="0.25">
      <c r="B928" s="5"/>
      <c r="C928" s="14" t="s">
        <v>5</v>
      </c>
      <c r="D928">
        <v>684.11630000000002</v>
      </c>
      <c r="F928" s="21">
        <v>1100.9010000000001</v>
      </c>
      <c r="H928" s="5"/>
      <c r="I928" s="14" t="s">
        <v>5</v>
      </c>
      <c r="J928">
        <v>689.99390000000005</v>
      </c>
      <c r="L928" s="21">
        <v>1108.5944999999999</v>
      </c>
    </row>
    <row r="929" spans="2:12" ht="15.75" thickBot="1" x14ac:dyDescent="0.3">
      <c r="B929" s="5"/>
      <c r="C929" s="16" t="s">
        <v>6</v>
      </c>
      <c r="D929">
        <v>820.10500000000002</v>
      </c>
      <c r="E929" s="17"/>
      <c r="F929" s="21">
        <v>1268.2526</v>
      </c>
      <c r="H929" s="5"/>
      <c r="I929" s="16" t="s">
        <v>6</v>
      </c>
      <c r="J929">
        <v>825.95349999999996</v>
      </c>
      <c r="K929" s="17"/>
      <c r="L929" s="21">
        <v>1271.1144999999999</v>
      </c>
    </row>
    <row r="930" spans="2:12" ht="15.75" thickBot="1" x14ac:dyDescent="0.3">
      <c r="B930" s="5"/>
      <c r="D930" s="19"/>
      <c r="F930" s="19"/>
      <c r="H930" s="5"/>
      <c r="J930" s="19">
        <f>SUM(J927:J929)</f>
        <v>2764.9892</v>
      </c>
      <c r="L930" s="19">
        <f>SUM(L927:L929)</f>
        <v>5767.1399999999994</v>
      </c>
    </row>
    <row r="931" spans="2:12" x14ac:dyDescent="0.25">
      <c r="B931" s="22" t="s">
        <v>8</v>
      </c>
      <c r="C931" s="23"/>
      <c r="D931" s="23"/>
      <c r="E931" s="23"/>
      <c r="F931" s="7"/>
      <c r="H931" s="22" t="s">
        <v>8</v>
      </c>
      <c r="I931" s="23"/>
      <c r="J931" s="23"/>
      <c r="K931" s="23"/>
      <c r="L931" s="7"/>
    </row>
    <row r="932" spans="2:12" ht="15.75" thickBot="1" x14ac:dyDescent="0.3">
      <c r="B932" s="24" t="s">
        <v>9</v>
      </c>
      <c r="C932" s="25"/>
      <c r="D932" s="25"/>
      <c r="E932" s="25"/>
      <c r="F932" s="26"/>
      <c r="H932" s="24" t="s">
        <v>9</v>
      </c>
      <c r="I932" s="25"/>
      <c r="J932" s="25"/>
      <c r="K932" s="25"/>
      <c r="L932" s="26"/>
    </row>
    <row r="933" spans="2:12" x14ac:dyDescent="0.25">
      <c r="C933" s="27" t="s">
        <v>10</v>
      </c>
      <c r="D933" s="27"/>
      <c r="E933" s="27"/>
      <c r="F933" s="27"/>
      <c r="I933" s="27" t="s">
        <v>10</v>
      </c>
      <c r="J933" s="27"/>
      <c r="K933" s="27"/>
      <c r="L933" s="27"/>
    </row>
    <row r="936" spans="2:12" ht="15.75" thickBot="1" x14ac:dyDescent="0.3"/>
    <row r="937" spans="2:12" x14ac:dyDescent="0.25">
      <c r="B937" s="1"/>
      <c r="C937" s="2"/>
      <c r="D937" s="3">
        <v>45474</v>
      </c>
      <c r="E937" s="2"/>
      <c r="F937" s="4"/>
      <c r="H937" s="1"/>
      <c r="I937" s="2"/>
      <c r="J937" s="3">
        <v>45481</v>
      </c>
      <c r="K937" s="2"/>
      <c r="L937" s="4"/>
    </row>
    <row r="938" spans="2:12" x14ac:dyDescent="0.25">
      <c r="B938" s="5"/>
      <c r="D938" s="6"/>
      <c r="F938" s="7"/>
      <c r="H938" s="5"/>
      <c r="J938" s="6"/>
      <c r="L938" s="7"/>
    </row>
    <row r="939" spans="2:12" x14ac:dyDescent="0.25">
      <c r="B939" s="5"/>
      <c r="C939" s="8" t="s">
        <v>0</v>
      </c>
      <c r="D939" s="9"/>
      <c r="E939" s="9"/>
      <c r="F939" s="10"/>
      <c r="H939" s="5"/>
      <c r="I939" s="8" t="s">
        <v>0</v>
      </c>
      <c r="J939" s="9"/>
      <c r="K939" s="9"/>
      <c r="L939" s="10"/>
    </row>
    <row r="940" spans="2:12" x14ac:dyDescent="0.25">
      <c r="B940" s="5"/>
      <c r="C940" s="11" t="s">
        <v>1</v>
      </c>
      <c r="D940" s="12"/>
      <c r="E940" s="12"/>
      <c r="F940" s="13"/>
      <c r="H940" s="5"/>
      <c r="I940" s="11" t="s">
        <v>1</v>
      </c>
      <c r="J940" s="12"/>
      <c r="K940" s="12"/>
      <c r="L940" s="13"/>
    </row>
    <row r="941" spans="2:12" x14ac:dyDescent="0.25">
      <c r="B941" s="5"/>
      <c r="C941" s="14"/>
      <c r="D941" t="s">
        <v>2</v>
      </c>
      <c r="F941" s="7" t="s">
        <v>3</v>
      </c>
      <c r="H941" s="5"/>
      <c r="I941" s="14"/>
      <c r="J941" t="s">
        <v>2</v>
      </c>
      <c r="L941" s="7" t="s">
        <v>3</v>
      </c>
    </row>
    <row r="942" spans="2:12" x14ac:dyDescent="0.25">
      <c r="B942" s="5"/>
      <c r="C942" s="14" t="s">
        <v>4</v>
      </c>
      <c r="D942">
        <v>5348.6113999999998</v>
      </c>
      <c r="F942" s="15">
        <v>5.3499999999999999E-2</v>
      </c>
      <c r="H942" s="5"/>
      <c r="I942" s="14" t="s">
        <v>4</v>
      </c>
      <c r="J942">
        <v>5378.8172999999997</v>
      </c>
      <c r="L942" s="15">
        <v>5.3749999999999999E-2</v>
      </c>
    </row>
    <row r="943" spans="2:12" x14ac:dyDescent="0.25">
      <c r="B943" s="5"/>
      <c r="C943" s="14" t="s">
        <v>5</v>
      </c>
      <c r="D943">
        <v>1223.3327999999999</v>
      </c>
      <c r="F943" s="15">
        <v>0.11584</v>
      </c>
      <c r="H943" s="5"/>
      <c r="I943" s="14" t="s">
        <v>5</v>
      </c>
      <c r="J943">
        <v>1230.9861000000001</v>
      </c>
      <c r="L943" s="15">
        <v>0.11668000000000001</v>
      </c>
    </row>
    <row r="944" spans="2:12" ht="15.75" thickBot="1" x14ac:dyDescent="0.3">
      <c r="B944" s="5"/>
      <c r="C944" s="16" t="s">
        <v>6</v>
      </c>
      <c r="D944">
        <v>1293.8296</v>
      </c>
      <c r="E944" s="17"/>
      <c r="F944" s="18">
        <v>0.17296</v>
      </c>
      <c r="H944" s="5"/>
      <c r="I944" s="16" t="s">
        <v>6</v>
      </c>
      <c r="J944">
        <v>1301.0697</v>
      </c>
      <c r="K944" s="17"/>
      <c r="L944" s="18">
        <v>0.17391999999999999</v>
      </c>
    </row>
    <row r="945" spans="2:12" ht="15.75" thickBot="1" x14ac:dyDescent="0.3">
      <c r="B945" s="5"/>
      <c r="D945" s="19"/>
      <c r="F945" s="19"/>
      <c r="H945" s="5"/>
      <c r="J945" s="19"/>
      <c r="L945" s="19"/>
    </row>
    <row r="946" spans="2:12" x14ac:dyDescent="0.25">
      <c r="B946" s="5"/>
      <c r="C946" s="8" t="s">
        <v>7</v>
      </c>
      <c r="D946" s="12"/>
      <c r="E946" s="9"/>
      <c r="F946" s="10"/>
      <c r="H946" s="5"/>
      <c r="I946" s="8" t="s">
        <v>7</v>
      </c>
      <c r="J946" s="12"/>
      <c r="K946" s="9"/>
      <c r="L946" s="10"/>
    </row>
    <row r="947" spans="2:12" x14ac:dyDescent="0.25">
      <c r="B947" s="5"/>
      <c r="C947" s="11" t="s">
        <v>1</v>
      </c>
      <c r="D947" s="12"/>
      <c r="E947" s="12"/>
      <c r="F947" s="13"/>
      <c r="H947" s="5"/>
      <c r="I947" s="11" t="s">
        <v>1</v>
      </c>
      <c r="J947" s="12"/>
      <c r="K947" s="12"/>
      <c r="L947" s="13"/>
    </row>
    <row r="948" spans="2:12" x14ac:dyDescent="0.25">
      <c r="B948" s="5"/>
      <c r="C948" s="14"/>
      <c r="D948" t="s">
        <v>2</v>
      </c>
      <c r="F948" s="7" t="s">
        <v>3</v>
      </c>
      <c r="H948" s="5"/>
      <c r="I948" s="14"/>
      <c r="J948" t="s">
        <v>2</v>
      </c>
      <c r="L948" s="7" t="s">
        <v>3</v>
      </c>
    </row>
    <row r="949" spans="2:12" x14ac:dyDescent="0.25">
      <c r="B949" s="5"/>
      <c r="C949" s="14" t="s">
        <v>4</v>
      </c>
      <c r="D949">
        <v>1257.8508999999999</v>
      </c>
      <c r="F949" s="20">
        <v>3415.7984000000001</v>
      </c>
      <c r="H949" s="5"/>
      <c r="I949" s="14" t="s">
        <v>4</v>
      </c>
      <c r="J949">
        <v>1266.6600000000001</v>
      </c>
      <c r="L949" s="20">
        <v>3444.1658000000002</v>
      </c>
    </row>
    <row r="950" spans="2:12" x14ac:dyDescent="0.25">
      <c r="B950" s="5"/>
      <c r="C950" s="14" t="s">
        <v>5</v>
      </c>
      <c r="D950">
        <v>695.87149999999997</v>
      </c>
      <c r="F950" s="21">
        <v>1116.288</v>
      </c>
      <c r="H950" s="5"/>
      <c r="I950" s="14" t="s">
        <v>5</v>
      </c>
      <c r="J950">
        <v>701.7491</v>
      </c>
      <c r="L950" s="21">
        <v>1123.9815000000001</v>
      </c>
    </row>
    <row r="951" spans="2:12" ht="15.75" thickBot="1" x14ac:dyDescent="0.3">
      <c r="B951" s="5"/>
      <c r="C951" s="16" t="s">
        <v>6</v>
      </c>
      <c r="D951">
        <v>831.80200000000002</v>
      </c>
      <c r="E951" s="17"/>
      <c r="F951" s="21">
        <v>1273.9764</v>
      </c>
      <c r="H951" s="5"/>
      <c r="I951" s="16" t="s">
        <v>6</v>
      </c>
      <c r="J951">
        <v>837.65049999999997</v>
      </c>
      <c r="K951" s="17"/>
      <c r="L951" s="21">
        <v>1276.8382999999999</v>
      </c>
    </row>
    <row r="952" spans="2:12" ht="15.75" thickBot="1" x14ac:dyDescent="0.3">
      <c r="B952" s="5"/>
      <c r="D952" s="19"/>
      <c r="F952" s="19"/>
      <c r="H952" s="5"/>
      <c r="J952" s="19"/>
      <c r="L952" s="19"/>
    </row>
    <row r="953" spans="2:12" x14ac:dyDescent="0.25">
      <c r="B953" s="22" t="s">
        <v>8</v>
      </c>
      <c r="C953" s="23"/>
      <c r="D953" s="23"/>
      <c r="E953" s="23"/>
      <c r="F953" s="7"/>
      <c r="H953" s="22" t="s">
        <v>8</v>
      </c>
      <c r="I953" s="23"/>
      <c r="J953" s="23"/>
      <c r="K953" s="23"/>
      <c r="L953" s="7"/>
    </row>
    <row r="954" spans="2:12" ht="15.75" thickBot="1" x14ac:dyDescent="0.3">
      <c r="B954" s="24" t="s">
        <v>9</v>
      </c>
      <c r="C954" s="25"/>
      <c r="D954" s="25"/>
      <c r="E954" s="25"/>
      <c r="F954" s="26"/>
      <c r="H954" s="24" t="s">
        <v>9</v>
      </c>
      <c r="I954" s="25"/>
      <c r="J954" s="25"/>
      <c r="K954" s="25"/>
      <c r="L954" s="26"/>
    </row>
    <row r="955" spans="2:12" x14ac:dyDescent="0.25">
      <c r="C955" s="27" t="s">
        <v>10</v>
      </c>
      <c r="D955" s="27"/>
      <c r="E955" s="27"/>
      <c r="F955" s="27"/>
      <c r="I955" s="27" t="s">
        <v>10</v>
      </c>
      <c r="J955" s="27"/>
      <c r="K955" s="27"/>
      <c r="L955" s="27"/>
    </row>
    <row r="958" spans="2:12" ht="15.75" thickBot="1" x14ac:dyDescent="0.3"/>
    <row r="959" spans="2:12" x14ac:dyDescent="0.25">
      <c r="B959" s="1"/>
      <c r="C959" s="2"/>
      <c r="D959" s="3">
        <v>45488</v>
      </c>
      <c r="E959" s="2"/>
      <c r="F959" s="4"/>
      <c r="H959" s="1"/>
      <c r="I959" s="2"/>
      <c r="J959" s="3">
        <v>45495</v>
      </c>
      <c r="K959" s="2"/>
      <c r="L959" s="4"/>
    </row>
    <row r="960" spans="2:12" x14ac:dyDescent="0.25">
      <c r="B960" s="5"/>
      <c r="D960" s="6"/>
      <c r="F960" s="7"/>
      <c r="H960" s="5"/>
      <c r="J960" s="6"/>
      <c r="L960" s="7"/>
    </row>
    <row r="961" spans="2:12" x14ac:dyDescent="0.25">
      <c r="B961" s="5"/>
      <c r="C961" s="8" t="s">
        <v>0</v>
      </c>
      <c r="D961" s="9"/>
      <c r="E961" s="9"/>
      <c r="F961" s="10"/>
      <c r="H961" s="5"/>
      <c r="I961" s="8" t="s">
        <v>0</v>
      </c>
      <c r="J961" s="9"/>
      <c r="K961" s="9"/>
      <c r="L961" s="10"/>
    </row>
    <row r="962" spans="2:12" x14ac:dyDescent="0.25">
      <c r="B962" s="5"/>
      <c r="C962" s="11" t="s">
        <v>1</v>
      </c>
      <c r="D962" s="12"/>
      <c r="E962" s="12"/>
      <c r="F962" s="13"/>
      <c r="H962" s="5"/>
      <c r="I962" s="11" t="s">
        <v>1</v>
      </c>
      <c r="J962" s="12"/>
      <c r="K962" s="12"/>
      <c r="L962" s="13"/>
    </row>
    <row r="963" spans="2:12" x14ac:dyDescent="0.25">
      <c r="B963" s="5"/>
      <c r="C963" s="14"/>
      <c r="D963" t="s">
        <v>2</v>
      </c>
      <c r="F963" s="7" t="s">
        <v>3</v>
      </c>
      <c r="H963" s="5"/>
      <c r="I963" s="14"/>
      <c r="J963" t="s">
        <v>2</v>
      </c>
      <c r="L963" s="7" t="s">
        <v>3</v>
      </c>
    </row>
    <row r="964" spans="2:12" x14ac:dyDescent="0.25">
      <c r="B964" s="5"/>
      <c r="C964" s="14" t="s">
        <v>4</v>
      </c>
      <c r="D964">
        <v>5409.0231999999996</v>
      </c>
      <c r="F964" s="15">
        <v>5.3999999999999999E-2</v>
      </c>
      <c r="H964" s="5"/>
      <c r="I964" s="14" t="s">
        <v>4</v>
      </c>
      <c r="J964">
        <v>5439.2290999999996</v>
      </c>
      <c r="L964" s="15">
        <v>5.425E-2</v>
      </c>
    </row>
    <row r="965" spans="2:12" x14ac:dyDescent="0.25">
      <c r="B965" s="5"/>
      <c r="C965" s="14" t="s">
        <v>5</v>
      </c>
      <c r="D965">
        <v>1238.6394</v>
      </c>
      <c r="F965" s="15">
        <v>0.11752</v>
      </c>
      <c r="H965" s="5"/>
      <c r="I965" s="14" t="s">
        <v>5</v>
      </c>
      <c r="J965">
        <v>1246.2927</v>
      </c>
      <c r="L965" s="15">
        <v>0.11836000000000001</v>
      </c>
    </row>
    <row r="966" spans="2:12" ht="15.75" thickBot="1" x14ac:dyDescent="0.3">
      <c r="B966" s="5"/>
      <c r="C966" s="16" t="s">
        <v>6</v>
      </c>
      <c r="D966">
        <v>1308.3098</v>
      </c>
      <c r="E966" s="17"/>
      <c r="F966" s="18">
        <v>0.17488000000000001</v>
      </c>
      <c r="H966" s="5"/>
      <c r="I966" s="16" t="s">
        <v>6</v>
      </c>
      <c r="J966">
        <v>1315.5499</v>
      </c>
      <c r="K966" s="17"/>
      <c r="L966" s="18">
        <v>0.17584</v>
      </c>
    </row>
    <row r="967" spans="2:12" ht="15.75" thickBot="1" x14ac:dyDescent="0.3">
      <c r="B967" s="5"/>
      <c r="D967" s="19"/>
      <c r="F967" s="19"/>
      <c r="H967" s="5"/>
      <c r="J967" s="19"/>
      <c r="L967" s="19"/>
    </row>
    <row r="968" spans="2:12" x14ac:dyDescent="0.25">
      <c r="B968" s="5"/>
      <c r="C968" s="8" t="s">
        <v>7</v>
      </c>
      <c r="D968" s="12"/>
      <c r="E968" s="9"/>
      <c r="F968" s="10"/>
      <c r="H968" s="5"/>
      <c r="I968" s="8" t="s">
        <v>7</v>
      </c>
      <c r="J968" s="12"/>
      <c r="K968" s="9"/>
      <c r="L968" s="10"/>
    </row>
    <row r="969" spans="2:12" x14ac:dyDescent="0.25">
      <c r="B969" s="5"/>
      <c r="C969" s="11" t="s">
        <v>1</v>
      </c>
      <c r="D969" s="12"/>
      <c r="E969" s="12"/>
      <c r="F969" s="13"/>
      <c r="H969" s="5"/>
      <c r="I969" s="11" t="s">
        <v>1</v>
      </c>
      <c r="J969" s="12"/>
      <c r="K969" s="12"/>
      <c r="L969" s="13"/>
    </row>
    <row r="970" spans="2:12" x14ac:dyDescent="0.25">
      <c r="B970" s="5"/>
      <c r="C970" s="14"/>
      <c r="D970" t="s">
        <v>2</v>
      </c>
      <c r="F970" s="7" t="s">
        <v>3</v>
      </c>
      <c r="H970" s="5"/>
      <c r="I970" s="14"/>
      <c r="J970" t="s">
        <v>2</v>
      </c>
      <c r="L970" s="7" t="s">
        <v>3</v>
      </c>
    </row>
    <row r="971" spans="2:12" x14ac:dyDescent="0.25">
      <c r="B971" s="5"/>
      <c r="C971" s="14" t="s">
        <v>4</v>
      </c>
      <c r="D971">
        <v>1275.4691</v>
      </c>
      <c r="F971" s="20">
        <v>3472.5331999999999</v>
      </c>
      <c r="H971" s="5"/>
      <c r="I971" s="14" t="s">
        <v>4</v>
      </c>
      <c r="J971">
        <v>1284.2782</v>
      </c>
      <c r="L971" s="20">
        <v>3500.9005999999999</v>
      </c>
    </row>
    <row r="972" spans="2:12" x14ac:dyDescent="0.25">
      <c r="B972" s="5"/>
      <c r="C972" s="14" t="s">
        <v>5</v>
      </c>
      <c r="D972">
        <v>707.62670000000003</v>
      </c>
      <c r="F972" s="21">
        <v>1131.675</v>
      </c>
      <c r="H972" s="5"/>
      <c r="I972" s="14" t="s">
        <v>5</v>
      </c>
      <c r="J972">
        <v>713.50429999999994</v>
      </c>
      <c r="L972" s="21">
        <v>1139.3685</v>
      </c>
    </row>
    <row r="973" spans="2:12" ht="15.75" thickBot="1" x14ac:dyDescent="0.3">
      <c r="B973" s="5"/>
      <c r="C973" s="16" t="s">
        <v>6</v>
      </c>
      <c r="D973">
        <v>843.49900000000002</v>
      </c>
      <c r="E973" s="17"/>
      <c r="F973" s="21">
        <v>1279.7002</v>
      </c>
      <c r="H973" s="5"/>
      <c r="I973" s="16" t="s">
        <v>6</v>
      </c>
      <c r="J973">
        <v>849.34749999999997</v>
      </c>
      <c r="K973" s="17"/>
      <c r="L973" s="21">
        <v>1282.5621000000001</v>
      </c>
    </row>
    <row r="974" spans="2:12" ht="15.75" thickBot="1" x14ac:dyDescent="0.3">
      <c r="B974" s="5"/>
      <c r="D974" s="19"/>
      <c r="F974" s="19"/>
      <c r="H974" s="5"/>
      <c r="J974" s="19"/>
      <c r="L974" s="19"/>
    </row>
    <row r="975" spans="2:12" x14ac:dyDescent="0.25">
      <c r="B975" s="22" t="s">
        <v>8</v>
      </c>
      <c r="C975" s="23"/>
      <c r="D975" s="23"/>
      <c r="E975" s="23"/>
      <c r="F975" s="7"/>
      <c r="H975" s="22" t="s">
        <v>8</v>
      </c>
      <c r="I975" s="23"/>
      <c r="J975" s="23"/>
      <c r="K975" s="23"/>
      <c r="L975" s="7"/>
    </row>
    <row r="976" spans="2:12" ht="15.75" thickBot="1" x14ac:dyDescent="0.3">
      <c r="B976" s="24" t="s">
        <v>9</v>
      </c>
      <c r="C976" s="25"/>
      <c r="D976" s="25"/>
      <c r="E976" s="25"/>
      <c r="F976" s="26"/>
      <c r="H976" s="24" t="s">
        <v>9</v>
      </c>
      <c r="I976" s="25"/>
      <c r="J976" s="25"/>
      <c r="K976" s="25"/>
      <c r="L976" s="26"/>
    </row>
    <row r="977" spans="2:12" x14ac:dyDescent="0.25">
      <c r="C977" s="27" t="s">
        <v>10</v>
      </c>
      <c r="D977" s="27"/>
      <c r="E977" s="27"/>
      <c r="F977" s="27"/>
      <c r="I977" s="27" t="s">
        <v>10</v>
      </c>
      <c r="J977" s="27"/>
      <c r="K977" s="27"/>
      <c r="L977" s="27"/>
    </row>
    <row r="980" spans="2:12" ht="15.75" thickBot="1" x14ac:dyDescent="0.3"/>
    <row r="981" spans="2:12" x14ac:dyDescent="0.25">
      <c r="B981" s="1"/>
      <c r="C981" s="2"/>
      <c r="D981" s="3">
        <v>45502</v>
      </c>
      <c r="E981" s="2"/>
      <c r="F981" s="4"/>
      <c r="H981" s="1"/>
      <c r="I981" s="2"/>
      <c r="J981" s="3">
        <v>45509</v>
      </c>
      <c r="K981" s="2"/>
      <c r="L981" s="4"/>
    </row>
    <row r="982" spans="2:12" x14ac:dyDescent="0.25">
      <c r="B982" s="5"/>
      <c r="D982" s="6"/>
      <c r="F982" s="7"/>
      <c r="H982" s="5"/>
      <c r="J982" s="6"/>
      <c r="L982" s="7"/>
    </row>
    <row r="983" spans="2:12" x14ac:dyDescent="0.25">
      <c r="B983" s="5"/>
      <c r="C983" s="8" t="s">
        <v>0</v>
      </c>
      <c r="D983" s="9"/>
      <c r="E983" s="9"/>
      <c r="F983" s="10"/>
      <c r="H983" s="5"/>
      <c r="I983" s="8" t="s">
        <v>0</v>
      </c>
      <c r="J983" s="9"/>
      <c r="K983" s="9"/>
      <c r="L983" s="10"/>
    </row>
    <row r="984" spans="2:12" x14ac:dyDescent="0.25">
      <c r="B984" s="5"/>
      <c r="C984" s="11" t="s">
        <v>1</v>
      </c>
      <c r="D984" s="12"/>
      <c r="E984" s="12"/>
      <c r="F984" s="13"/>
      <c r="H984" s="5"/>
      <c r="I984" s="11" t="s">
        <v>1</v>
      </c>
      <c r="J984" s="12"/>
      <c r="K984" s="12"/>
      <c r="L984" s="13"/>
    </row>
    <row r="985" spans="2:12" x14ac:dyDescent="0.25">
      <c r="B985" s="5"/>
      <c r="C985" s="14"/>
      <c r="D985" t="s">
        <v>2</v>
      </c>
      <c r="F985" s="7" t="s">
        <v>3</v>
      </c>
      <c r="H985" s="5"/>
      <c r="I985" s="14"/>
      <c r="J985" t="s">
        <v>2</v>
      </c>
      <c r="L985" s="7" t="s">
        <v>3</v>
      </c>
    </row>
    <row r="986" spans="2:12" x14ac:dyDescent="0.25">
      <c r="B986" s="5"/>
      <c r="C986" s="14" t="s">
        <v>4</v>
      </c>
      <c r="D986">
        <v>5469.4350000000004</v>
      </c>
      <c r="F986" s="15">
        <v>5.45E-2</v>
      </c>
      <c r="H986" s="5"/>
      <c r="I986" s="14" t="s">
        <v>4</v>
      </c>
      <c r="J986">
        <v>5529.8689999999997</v>
      </c>
      <c r="L986" s="15">
        <v>5.5E-2</v>
      </c>
    </row>
    <row r="987" spans="2:12" x14ac:dyDescent="0.25">
      <c r="B987" s="5"/>
      <c r="C987" s="14" t="s">
        <v>5</v>
      </c>
      <c r="D987">
        <v>1253.9459999999999</v>
      </c>
      <c r="F987" s="15">
        <v>0.1192</v>
      </c>
      <c r="H987" s="5"/>
      <c r="I987" s="14" t="s">
        <v>5</v>
      </c>
      <c r="J987">
        <v>1269.2550000000001</v>
      </c>
      <c r="L987" s="15">
        <v>0.121</v>
      </c>
    </row>
    <row r="988" spans="2:12" ht="15.75" thickBot="1" x14ac:dyDescent="0.3">
      <c r="B988" s="5"/>
      <c r="C988" s="16" t="s">
        <v>6</v>
      </c>
      <c r="D988">
        <v>1322.79</v>
      </c>
      <c r="E988" s="17"/>
      <c r="F988" s="18">
        <v>0.17680000000000001</v>
      </c>
      <c r="H988" s="5"/>
      <c r="I988" s="16" t="s">
        <v>6</v>
      </c>
      <c r="J988">
        <v>1337.271</v>
      </c>
      <c r="K988" s="17"/>
      <c r="L988" s="18">
        <v>0.17899999999999999</v>
      </c>
    </row>
    <row r="989" spans="2:12" ht="15.75" thickBot="1" x14ac:dyDescent="0.3">
      <c r="B989" s="5"/>
      <c r="D989" s="19"/>
      <c r="F989" s="19"/>
      <c r="H989" s="5"/>
      <c r="J989" s="19"/>
      <c r="L989" s="19"/>
    </row>
    <row r="990" spans="2:12" x14ac:dyDescent="0.25">
      <c r="B990" s="5"/>
      <c r="C990" s="8" t="s">
        <v>7</v>
      </c>
      <c r="D990" s="12"/>
      <c r="E990" s="9"/>
      <c r="F990" s="10"/>
      <c r="H990" s="5"/>
      <c r="I990" s="8" t="s">
        <v>7</v>
      </c>
      <c r="J990" s="12"/>
      <c r="K990" s="9"/>
      <c r="L990" s="10"/>
    </row>
    <row r="991" spans="2:12" x14ac:dyDescent="0.25">
      <c r="B991" s="5"/>
      <c r="C991" s="11" t="s">
        <v>1</v>
      </c>
      <c r="D991" s="12"/>
      <c r="E991" s="12"/>
      <c r="F991" s="13"/>
      <c r="H991" s="5"/>
      <c r="I991" s="11" t="s">
        <v>1</v>
      </c>
      <c r="J991" s="12"/>
      <c r="K991" s="12"/>
      <c r="L991" s="13"/>
    </row>
    <row r="992" spans="2:12" x14ac:dyDescent="0.25">
      <c r="B992" s="5"/>
      <c r="C992" s="14"/>
      <c r="D992" t="s">
        <v>2</v>
      </c>
      <c r="F992" s="7" t="s">
        <v>3</v>
      </c>
      <c r="H992" s="5"/>
      <c r="I992" s="14"/>
      <c r="J992" t="s">
        <v>2</v>
      </c>
      <c r="L992" s="7" t="s">
        <v>3</v>
      </c>
    </row>
    <row r="993" spans="2:12" x14ac:dyDescent="0.25">
      <c r="B993" s="5"/>
      <c r="C993" s="14" t="s">
        <v>4</v>
      </c>
      <c r="D993">
        <v>1288.3154999999999</v>
      </c>
      <c r="F993" s="20">
        <v>3529.268</v>
      </c>
      <c r="H993" s="5"/>
      <c r="I993" s="14" t="s">
        <v>4</v>
      </c>
      <c r="J993">
        <v>1291.1489999999999</v>
      </c>
      <c r="L993" s="20">
        <v>3586.0410000000002</v>
      </c>
    </row>
    <row r="994" spans="2:12" x14ac:dyDescent="0.25">
      <c r="B994" s="5"/>
      <c r="C994" s="14" t="s">
        <v>5</v>
      </c>
      <c r="D994">
        <v>719.38189999999997</v>
      </c>
      <c r="F994" s="21">
        <v>1147.0619999999999</v>
      </c>
      <c r="H994" s="5"/>
      <c r="I994" s="14" t="s">
        <v>5</v>
      </c>
      <c r="J994">
        <v>729.322</v>
      </c>
      <c r="L994" s="21">
        <v>1162.4490000000001</v>
      </c>
    </row>
    <row r="995" spans="2:12" ht="15.75" thickBot="1" x14ac:dyDescent="0.3">
      <c r="B995" s="5"/>
      <c r="C995" s="16" t="s">
        <v>6</v>
      </c>
      <c r="D995">
        <v>855.19600000000003</v>
      </c>
      <c r="E995" s="17"/>
      <c r="F995" s="21">
        <v>1285.424</v>
      </c>
      <c r="H995" s="5"/>
      <c r="I995" s="16" t="s">
        <v>6</v>
      </c>
      <c r="J995">
        <v>866.86199999999997</v>
      </c>
      <c r="K995" s="17"/>
      <c r="L995" s="21">
        <v>1551.5250000000001</v>
      </c>
    </row>
    <row r="996" spans="2:12" ht="15.75" thickBot="1" x14ac:dyDescent="0.3">
      <c r="B996" s="5"/>
      <c r="D996" s="19">
        <f>SUM(D993:D995)</f>
        <v>2862.8933999999999</v>
      </c>
      <c r="F996" s="19">
        <f>SUM(F993:F995)</f>
        <v>5961.7539999999999</v>
      </c>
      <c r="H996" s="5"/>
      <c r="J996" s="19"/>
      <c r="L996" s="19"/>
    </row>
    <row r="997" spans="2:12" x14ac:dyDescent="0.25">
      <c r="B997" s="22" t="s">
        <v>8</v>
      </c>
      <c r="C997" s="23"/>
      <c r="D997" s="23"/>
      <c r="E997" s="23"/>
      <c r="F997" s="7"/>
      <c r="H997" s="22" t="s">
        <v>8</v>
      </c>
      <c r="I997" s="23"/>
      <c r="J997" s="23"/>
      <c r="K997" s="23"/>
      <c r="L997" s="7"/>
    </row>
    <row r="998" spans="2:12" ht="15.75" thickBot="1" x14ac:dyDescent="0.3">
      <c r="B998" s="24" t="s">
        <v>9</v>
      </c>
      <c r="C998" s="25"/>
      <c r="D998" s="25"/>
      <c r="E998" s="25"/>
      <c r="F998" s="26"/>
      <c r="H998" s="24" t="s">
        <v>9</v>
      </c>
      <c r="I998" s="25"/>
      <c r="J998" s="25"/>
      <c r="K998" s="25"/>
      <c r="L998" s="26"/>
    </row>
    <row r="999" spans="2:12" x14ac:dyDescent="0.25">
      <c r="C999" s="27" t="s">
        <v>10</v>
      </c>
      <c r="D999" s="27"/>
      <c r="E999" s="27"/>
      <c r="F999" s="27"/>
      <c r="I999" s="27" t="s">
        <v>10</v>
      </c>
      <c r="J999" s="27"/>
      <c r="K999" s="27"/>
      <c r="L999" s="27"/>
    </row>
    <row r="1002" spans="2:12" ht="15.75" thickBot="1" x14ac:dyDescent="0.3"/>
    <row r="1003" spans="2:12" x14ac:dyDescent="0.25">
      <c r="B1003" s="1"/>
      <c r="C1003" s="2"/>
      <c r="D1003" s="3">
        <v>45516</v>
      </c>
      <c r="E1003" s="2"/>
      <c r="F1003" s="4"/>
      <c r="H1003" s="1"/>
      <c r="I1003" s="2"/>
      <c r="J1003" s="3">
        <v>45523</v>
      </c>
      <c r="K1003" s="2"/>
      <c r="L1003" s="4"/>
    </row>
    <row r="1004" spans="2:12" x14ac:dyDescent="0.25">
      <c r="B1004" s="5"/>
      <c r="D1004" s="6"/>
      <c r="F1004" s="7"/>
      <c r="H1004" s="5"/>
      <c r="J1004" s="6"/>
      <c r="L1004" s="7"/>
    </row>
    <row r="1005" spans="2:12" x14ac:dyDescent="0.25">
      <c r="B1005" s="5"/>
      <c r="C1005" s="8" t="s">
        <v>0</v>
      </c>
      <c r="D1005" s="9"/>
      <c r="E1005" s="9"/>
      <c r="F1005" s="10"/>
      <c r="H1005" s="5"/>
      <c r="I1005" s="8" t="s">
        <v>0</v>
      </c>
      <c r="J1005" s="9"/>
      <c r="K1005" s="9"/>
      <c r="L1005" s="10"/>
    </row>
    <row r="1006" spans="2:12" x14ac:dyDescent="0.25">
      <c r="B1006" s="5"/>
      <c r="C1006" s="11" t="s">
        <v>1</v>
      </c>
      <c r="D1006" s="12"/>
      <c r="E1006" s="12"/>
      <c r="F1006" s="13"/>
      <c r="H1006" s="5"/>
      <c r="I1006" s="11" t="s">
        <v>1</v>
      </c>
      <c r="J1006" s="12"/>
      <c r="K1006" s="12"/>
      <c r="L1006" s="13"/>
    </row>
    <row r="1007" spans="2:12" x14ac:dyDescent="0.25">
      <c r="B1007" s="5"/>
      <c r="C1007" s="14"/>
      <c r="D1007" t="s">
        <v>2</v>
      </c>
      <c r="F1007" s="7" t="s">
        <v>3</v>
      </c>
      <c r="H1007" s="5"/>
      <c r="I1007" s="14"/>
      <c r="J1007" t="s">
        <v>2</v>
      </c>
      <c r="L1007" s="7" t="s">
        <v>3</v>
      </c>
    </row>
    <row r="1008" spans="2:12" x14ac:dyDescent="0.25">
      <c r="B1008" s="5"/>
      <c r="C1008" s="14" t="s">
        <v>4</v>
      </c>
      <c r="D1008">
        <v>5590.3029999999999</v>
      </c>
      <c r="F1008" s="15">
        <v>5.5500000000000001E-2</v>
      </c>
      <c r="H1008" s="5"/>
      <c r="I1008" s="14" t="s">
        <v>4</v>
      </c>
      <c r="J1008">
        <v>5637.0550000000003</v>
      </c>
      <c r="L1008" s="15">
        <v>5.5500000000000001E-2</v>
      </c>
    </row>
    <row r="1009" spans="2:12" x14ac:dyDescent="0.25">
      <c r="B1009" s="5"/>
      <c r="C1009" s="14" t="s">
        <v>5</v>
      </c>
      <c r="D1009">
        <v>1284.5640000000001</v>
      </c>
      <c r="F1009" s="15">
        <v>0.12280000000000001</v>
      </c>
      <c r="H1009" s="5"/>
      <c r="I1009" s="14" t="s">
        <v>5</v>
      </c>
      <c r="J1009">
        <v>1286.799</v>
      </c>
      <c r="L1009" s="15">
        <v>0.123</v>
      </c>
    </row>
    <row r="1010" spans="2:12" ht="15.75" thickBot="1" x14ac:dyDescent="0.3">
      <c r="B1010" s="5"/>
      <c r="C1010" s="16" t="s">
        <v>6</v>
      </c>
      <c r="D1010">
        <v>1351.752</v>
      </c>
      <c r="E1010" s="17"/>
      <c r="F1010" s="18">
        <v>1551.5272</v>
      </c>
      <c r="H1010" s="5"/>
      <c r="I1010" s="16" t="s">
        <v>6</v>
      </c>
      <c r="J1010">
        <v>1359.2380000000001</v>
      </c>
      <c r="K1010" s="17"/>
      <c r="L1010" s="18">
        <v>0.18099999999999999</v>
      </c>
    </row>
    <row r="1011" spans="2:12" ht="15.75" thickBot="1" x14ac:dyDescent="0.3">
      <c r="B1011" s="5"/>
      <c r="D1011" s="19"/>
      <c r="F1011" s="19"/>
      <c r="H1011" s="5"/>
      <c r="J1011" s="19"/>
      <c r="L1011" s="19"/>
    </row>
    <row r="1012" spans="2:12" x14ac:dyDescent="0.25">
      <c r="B1012" s="5"/>
      <c r="C1012" s="8" t="s">
        <v>7</v>
      </c>
      <c r="D1012" s="12"/>
      <c r="E1012" s="9"/>
      <c r="F1012" s="10"/>
      <c r="H1012" s="5"/>
      <c r="I1012" s="8" t="s">
        <v>7</v>
      </c>
      <c r="J1012" s="12"/>
      <c r="K1012" s="9"/>
      <c r="L1012" s="10"/>
    </row>
    <row r="1013" spans="2:12" x14ac:dyDescent="0.25">
      <c r="B1013" s="5"/>
      <c r="C1013" s="11" t="s">
        <v>1</v>
      </c>
      <c r="D1013" s="12"/>
      <c r="E1013" s="12"/>
      <c r="F1013" s="13"/>
      <c r="H1013" s="5"/>
      <c r="I1013" s="11" t="s">
        <v>1</v>
      </c>
      <c r="J1013" s="12"/>
      <c r="K1013" s="12"/>
      <c r="L1013" s="13"/>
    </row>
    <row r="1014" spans="2:12" x14ac:dyDescent="0.25">
      <c r="B1014" s="5"/>
      <c r="C1014" s="14"/>
      <c r="D1014" t="s">
        <v>2</v>
      </c>
      <c r="F1014" s="7" t="s">
        <v>3</v>
      </c>
      <c r="H1014" s="5"/>
      <c r="I1014" s="14"/>
      <c r="J1014" t="s">
        <v>2</v>
      </c>
      <c r="L1014" s="7" t="s">
        <v>3</v>
      </c>
    </row>
    <row r="1015" spans="2:12" x14ac:dyDescent="0.25">
      <c r="B1015" s="5"/>
      <c r="C1015" s="14" t="s">
        <v>4</v>
      </c>
      <c r="D1015">
        <v>1293.9825000000001</v>
      </c>
      <c r="F1015" s="20">
        <v>3642.8119999999999</v>
      </c>
      <c r="H1015" s="5"/>
      <c r="I1015" s="14" t="s">
        <v>4</v>
      </c>
      <c r="J1015">
        <v>1304.5709999999999</v>
      </c>
      <c r="L1015" s="20">
        <v>3679.998</v>
      </c>
    </row>
    <row r="1016" spans="2:12" x14ac:dyDescent="0.25">
      <c r="B1016" s="5"/>
      <c r="C1016" s="14" t="s">
        <v>5</v>
      </c>
      <c r="D1016">
        <v>739.26210000000003</v>
      </c>
      <c r="F1016" s="21">
        <v>1177.838</v>
      </c>
      <c r="H1016" s="5"/>
      <c r="I1016" s="14" t="s">
        <v>5</v>
      </c>
      <c r="J1016">
        <v>738.23299999999995</v>
      </c>
      <c r="L1016" s="21">
        <v>1197.624</v>
      </c>
    </row>
    <row r="1017" spans="2:12" ht="15.75" thickBot="1" x14ac:dyDescent="0.3">
      <c r="B1017" s="5"/>
      <c r="C1017" s="16" t="s">
        <v>6</v>
      </c>
      <c r="D1017">
        <v>878.52800000000002</v>
      </c>
      <c r="E1017" s="17"/>
      <c r="F1017" s="21">
        <v>1817.63</v>
      </c>
      <c r="H1017" s="5"/>
      <c r="I1017" s="16" t="s">
        <v>6</v>
      </c>
      <c r="J1017">
        <v>883.21500000000003</v>
      </c>
      <c r="K1017" s="17"/>
      <c r="L1017" s="21">
        <v>1599.018</v>
      </c>
    </row>
    <row r="1018" spans="2:12" ht="15.75" thickBot="1" x14ac:dyDescent="0.3">
      <c r="B1018" s="5"/>
      <c r="D1018" s="19"/>
      <c r="F1018" s="19"/>
      <c r="H1018" s="5"/>
      <c r="J1018" s="19"/>
      <c r="L1018" s="19"/>
    </row>
    <row r="1019" spans="2:12" x14ac:dyDescent="0.25">
      <c r="B1019" s="22" t="s">
        <v>8</v>
      </c>
      <c r="C1019" s="23"/>
      <c r="D1019" s="23"/>
      <c r="E1019" s="23"/>
      <c r="F1019" s="7"/>
      <c r="H1019" s="22" t="s">
        <v>8</v>
      </c>
      <c r="I1019" s="23"/>
      <c r="J1019" s="23"/>
      <c r="K1019" s="23"/>
      <c r="L1019" s="7"/>
    </row>
    <row r="1020" spans="2:12" ht="15.75" thickBot="1" x14ac:dyDescent="0.3">
      <c r="B1020" s="24" t="s">
        <v>9</v>
      </c>
      <c r="C1020" s="25"/>
      <c r="D1020" s="25"/>
      <c r="E1020" s="25"/>
      <c r="F1020" s="26"/>
      <c r="H1020" s="24" t="s">
        <v>9</v>
      </c>
      <c r="I1020" s="25"/>
      <c r="J1020" s="25"/>
      <c r="K1020" s="25"/>
      <c r="L1020" s="26"/>
    </row>
    <row r="1021" spans="2:12" x14ac:dyDescent="0.25">
      <c r="C1021" s="27" t="s">
        <v>10</v>
      </c>
      <c r="D1021" s="27"/>
      <c r="E1021" s="27"/>
      <c r="F1021" s="27"/>
      <c r="I1021" s="27" t="s">
        <v>10</v>
      </c>
      <c r="J1021" s="27"/>
      <c r="K1021" s="27"/>
      <c r="L1021" s="27"/>
    </row>
    <row r="1024" spans="2:12" ht="15.75" thickBot="1" x14ac:dyDescent="0.3"/>
    <row r="1025" spans="2:12" x14ac:dyDescent="0.25">
      <c r="B1025" s="1"/>
      <c r="C1025" s="2"/>
      <c r="D1025" s="3">
        <v>45530</v>
      </c>
      <c r="E1025" s="2"/>
      <c r="F1025" s="4"/>
      <c r="H1025" s="1"/>
      <c r="I1025" s="2"/>
      <c r="J1025" s="3">
        <v>45537</v>
      </c>
      <c r="K1025" s="2"/>
      <c r="L1025" s="4"/>
    </row>
    <row r="1026" spans="2:12" x14ac:dyDescent="0.25">
      <c r="B1026" s="5"/>
      <c r="D1026" s="6"/>
      <c r="F1026" s="7"/>
      <c r="H1026" s="5"/>
      <c r="J1026" s="6"/>
      <c r="L1026" s="7"/>
    </row>
    <row r="1027" spans="2:12" x14ac:dyDescent="0.25">
      <c r="B1027" s="5"/>
      <c r="C1027" s="8" t="s">
        <v>0</v>
      </c>
      <c r="D1027" s="9"/>
      <c r="E1027" s="9"/>
      <c r="F1027" s="10"/>
      <c r="H1027" s="5"/>
      <c r="I1027" s="8" t="s">
        <v>0</v>
      </c>
      <c r="J1027" s="9"/>
      <c r="K1027" s="9"/>
      <c r="L1027" s="10"/>
    </row>
    <row r="1028" spans="2:12" x14ac:dyDescent="0.25">
      <c r="B1028" s="5"/>
      <c r="C1028" s="11" t="s">
        <v>1</v>
      </c>
      <c r="D1028" s="12"/>
      <c r="E1028" s="12"/>
      <c r="F1028" s="13"/>
      <c r="H1028" s="5"/>
      <c r="I1028" s="11" t="s">
        <v>1</v>
      </c>
      <c r="J1028" s="12"/>
      <c r="K1028" s="12"/>
      <c r="L1028" s="13"/>
    </row>
    <row r="1029" spans="2:12" x14ac:dyDescent="0.25">
      <c r="B1029" s="5"/>
      <c r="C1029" s="14"/>
      <c r="D1029" t="s">
        <v>2</v>
      </c>
      <c r="F1029" s="7" t="s">
        <v>3</v>
      </c>
      <c r="H1029" s="5"/>
      <c r="I1029" s="14"/>
      <c r="J1029" t="s">
        <v>2</v>
      </c>
      <c r="L1029" s="7" t="s">
        <v>3</v>
      </c>
    </row>
    <row r="1030" spans="2:12" x14ac:dyDescent="0.25">
      <c r="B1030" s="5"/>
      <c r="C1030" s="14" t="s">
        <v>4</v>
      </c>
      <c r="D1030">
        <v>3676.8119999999999</v>
      </c>
      <c r="F1030" s="15">
        <v>5.5500000000000001E-2</v>
      </c>
      <c r="H1030" s="5"/>
      <c r="I1030" s="14" t="s">
        <v>4</v>
      </c>
      <c r="J1030">
        <v>5685.482</v>
      </c>
      <c r="L1030" s="15">
        <v>5.5E-2</v>
      </c>
    </row>
    <row r="1031" spans="2:12" x14ac:dyDescent="0.25">
      <c r="B1031" s="5"/>
      <c r="C1031" s="14" t="s">
        <v>5</v>
      </c>
      <c r="D1031">
        <v>1296.3309999999999</v>
      </c>
      <c r="F1031" s="15">
        <v>0.124</v>
      </c>
      <c r="H1031" s="5"/>
      <c r="I1031" s="14" t="s">
        <v>5</v>
      </c>
      <c r="J1031">
        <v>1304.6690000000001</v>
      </c>
      <c r="L1031" s="15">
        <v>0.124</v>
      </c>
    </row>
    <row r="1032" spans="2:12" ht="15.75" thickBot="1" x14ac:dyDescent="0.3">
      <c r="B1032" s="5"/>
      <c r="C1032" s="16" t="s">
        <v>6</v>
      </c>
      <c r="D1032">
        <v>1368.8019999999999</v>
      </c>
      <c r="E1032" s="17"/>
      <c r="F1032" s="18">
        <v>0.182</v>
      </c>
      <c r="H1032" s="5"/>
      <c r="I1032" s="16" t="s">
        <v>6</v>
      </c>
      <c r="J1032">
        <v>1368.808</v>
      </c>
      <c r="K1032" s="17"/>
      <c r="L1032" s="18">
        <v>0.183</v>
      </c>
    </row>
    <row r="1033" spans="2:12" ht="15.75" thickBot="1" x14ac:dyDescent="0.3">
      <c r="B1033" s="5"/>
      <c r="D1033" s="19"/>
      <c r="F1033" s="19"/>
      <c r="H1033" s="5"/>
      <c r="J1033" s="19"/>
      <c r="L1033" s="19"/>
    </row>
    <row r="1034" spans="2:12" x14ac:dyDescent="0.25">
      <c r="B1034" s="5"/>
      <c r="C1034" s="8" t="s">
        <v>7</v>
      </c>
      <c r="D1034" s="12"/>
      <c r="E1034" s="9"/>
      <c r="F1034" s="10"/>
      <c r="H1034" s="5"/>
      <c r="I1034" s="8" t="s">
        <v>7</v>
      </c>
      <c r="J1034" s="12"/>
      <c r="K1034" s="9"/>
      <c r="L1034" s="10"/>
    </row>
    <row r="1035" spans="2:12" x14ac:dyDescent="0.25">
      <c r="B1035" s="5"/>
      <c r="C1035" s="11" t="s">
        <v>1</v>
      </c>
      <c r="D1035" s="12"/>
      <c r="E1035" s="12"/>
      <c r="F1035" s="13"/>
      <c r="H1035" s="5"/>
      <c r="I1035" s="11" t="s">
        <v>1</v>
      </c>
      <c r="J1035" s="12"/>
      <c r="K1035" s="12"/>
      <c r="L1035" s="13"/>
    </row>
    <row r="1036" spans="2:12" x14ac:dyDescent="0.25">
      <c r="B1036" s="5"/>
      <c r="C1036" s="14"/>
      <c r="D1036" t="s">
        <v>2</v>
      </c>
      <c r="F1036" s="7" t="s">
        <v>3</v>
      </c>
      <c r="H1036" s="5"/>
      <c r="I1036" s="14"/>
      <c r="J1036" t="s">
        <v>2</v>
      </c>
      <c r="L1036" s="7" t="s">
        <v>3</v>
      </c>
    </row>
    <row r="1037" spans="2:12" x14ac:dyDescent="0.25">
      <c r="B1037" s="5"/>
      <c r="C1037" s="14" t="s">
        <v>4</v>
      </c>
      <c r="D1037">
        <v>1310.732</v>
      </c>
      <c r="F1037" s="20">
        <v>3708.8690000000001</v>
      </c>
      <c r="H1037" s="5"/>
      <c r="I1037" s="14" t="s">
        <v>4</v>
      </c>
      <c r="J1037">
        <v>1312.5409999999999</v>
      </c>
      <c r="L1037" s="20">
        <v>3713.0830000000001</v>
      </c>
    </row>
    <row r="1038" spans="2:12" x14ac:dyDescent="0.25">
      <c r="B1038" s="5"/>
      <c r="C1038" s="14" t="s">
        <v>5</v>
      </c>
      <c r="D1038">
        <v>746.52499999999998</v>
      </c>
      <c r="F1038" s="21">
        <v>1205.009</v>
      </c>
      <c r="H1038" s="5"/>
      <c r="I1038" s="14" t="s">
        <v>5</v>
      </c>
      <c r="J1038">
        <v>753.69600000000003</v>
      </c>
      <c r="L1038" s="21">
        <v>1206.434</v>
      </c>
    </row>
    <row r="1039" spans="2:12" ht="15.75" thickBot="1" x14ac:dyDescent="0.3">
      <c r="B1039" s="5"/>
      <c r="C1039" s="16" t="s">
        <v>6</v>
      </c>
      <c r="D1039">
        <v>891.91</v>
      </c>
      <c r="E1039" s="17"/>
      <c r="F1039" s="21">
        <v>1609.347</v>
      </c>
      <c r="H1039" s="5"/>
      <c r="I1039" s="16" t="s">
        <v>6</v>
      </c>
      <c r="J1039">
        <v>891.91</v>
      </c>
      <c r="K1039" s="17"/>
      <c r="L1039" s="21">
        <v>1610.5440000000001</v>
      </c>
    </row>
    <row r="1040" spans="2:12" ht="15.75" thickBot="1" x14ac:dyDescent="0.3">
      <c r="B1040" s="5"/>
      <c r="D1040" s="19">
        <f>SUM(D1037:D1039)</f>
        <v>2949.1669999999999</v>
      </c>
      <c r="F1040" s="19">
        <f>SUM(F1037:F1039)</f>
        <v>6523.2250000000004</v>
      </c>
      <c r="H1040" s="5"/>
      <c r="J1040" s="19"/>
      <c r="L1040" s="19"/>
    </row>
    <row r="1041" spans="2:12" x14ac:dyDescent="0.25">
      <c r="B1041" s="22" t="s">
        <v>8</v>
      </c>
      <c r="C1041" s="23"/>
      <c r="D1041" s="23"/>
      <c r="E1041" s="23"/>
      <c r="F1041" s="7"/>
      <c r="H1041" s="22" t="s">
        <v>8</v>
      </c>
      <c r="I1041" s="23"/>
      <c r="J1041" s="23"/>
      <c r="K1041" s="23"/>
      <c r="L1041" s="7"/>
    </row>
    <row r="1042" spans="2:12" ht="15.75" thickBot="1" x14ac:dyDescent="0.3">
      <c r="B1042" s="24" t="s">
        <v>9</v>
      </c>
      <c r="C1042" s="25"/>
      <c r="D1042" s="25"/>
      <c r="E1042" s="25"/>
      <c r="F1042" s="26"/>
      <c r="H1042" s="24" t="s">
        <v>9</v>
      </c>
      <c r="I1042" s="25"/>
      <c r="J1042" s="25"/>
      <c r="K1042" s="25"/>
      <c r="L1042" s="26"/>
    </row>
    <row r="1043" spans="2:12" x14ac:dyDescent="0.25">
      <c r="C1043" s="27" t="s">
        <v>10</v>
      </c>
      <c r="D1043" s="27"/>
      <c r="E1043" s="27"/>
      <c r="F1043" s="27"/>
      <c r="I1043" s="27" t="s">
        <v>10</v>
      </c>
      <c r="J1043" s="27"/>
      <c r="K1043" s="27"/>
      <c r="L1043" s="27"/>
    </row>
    <row r="1047" spans="2:12" ht="15.75" thickBot="1" x14ac:dyDescent="0.3"/>
    <row r="1048" spans="2:12" x14ac:dyDescent="0.25">
      <c r="B1048" s="1"/>
      <c r="C1048" s="2"/>
      <c r="D1048" s="3">
        <v>45544</v>
      </c>
      <c r="E1048" s="2"/>
      <c r="F1048" s="4"/>
      <c r="H1048" s="1"/>
      <c r="I1048" s="2"/>
      <c r="J1048" s="3">
        <v>45551</v>
      </c>
      <c r="K1048" s="2"/>
      <c r="L1048" s="4"/>
    </row>
    <row r="1049" spans="2:12" x14ac:dyDescent="0.25">
      <c r="B1049" s="5"/>
      <c r="D1049" s="6"/>
      <c r="F1049" s="7"/>
      <c r="H1049" s="5"/>
      <c r="J1049" s="6"/>
      <c r="L1049" s="7"/>
    </row>
    <row r="1050" spans="2:12" x14ac:dyDescent="0.25">
      <c r="B1050" s="5"/>
      <c r="C1050" s="8" t="s">
        <v>0</v>
      </c>
      <c r="D1050" s="9"/>
      <c r="E1050" s="9"/>
      <c r="F1050" s="10"/>
      <c r="H1050" s="5"/>
      <c r="I1050" s="8" t="s">
        <v>0</v>
      </c>
      <c r="J1050" s="9"/>
      <c r="K1050" s="9"/>
      <c r="L1050" s="10"/>
    </row>
    <row r="1051" spans="2:12" x14ac:dyDescent="0.25">
      <c r="B1051" s="5"/>
      <c r="C1051" s="11" t="s">
        <v>1</v>
      </c>
      <c r="D1051" s="12"/>
      <c r="E1051" s="12"/>
      <c r="F1051" s="13"/>
      <c r="H1051" s="5"/>
      <c r="I1051" s="11" t="s">
        <v>1</v>
      </c>
      <c r="J1051" s="12"/>
      <c r="K1051" s="12"/>
      <c r="L1051" s="13"/>
    </row>
    <row r="1052" spans="2:12" x14ac:dyDescent="0.25">
      <c r="B1052" s="5"/>
      <c r="C1052" s="14"/>
      <c r="D1052" t="s">
        <v>2</v>
      </c>
      <c r="F1052" s="7" t="s">
        <v>3</v>
      </c>
      <c r="H1052" s="5"/>
      <c r="I1052" s="14"/>
      <c r="J1052" t="s">
        <v>2</v>
      </c>
      <c r="L1052" s="7" t="s">
        <v>3</v>
      </c>
    </row>
    <row r="1053" spans="2:12" x14ac:dyDescent="0.25">
      <c r="B1053" s="5"/>
      <c r="C1053" s="14" t="s">
        <v>4</v>
      </c>
      <c r="D1053">
        <v>5726.9269999999997</v>
      </c>
      <c r="F1053" s="15">
        <v>5.5E-2</v>
      </c>
      <c r="H1053" s="5"/>
      <c r="I1053" s="14" t="s">
        <v>4</v>
      </c>
      <c r="J1053">
        <v>5741.1840000000002</v>
      </c>
      <c r="L1053" s="15">
        <v>5.5E-2</v>
      </c>
    </row>
    <row r="1054" spans="2:12" x14ac:dyDescent="0.25">
      <c r="B1054" s="5"/>
      <c r="C1054" s="14" t="s">
        <v>5</v>
      </c>
      <c r="D1054">
        <v>1313.3440000000001</v>
      </c>
      <c r="F1054" s="15">
        <v>0.127</v>
      </c>
      <c r="H1054" s="5"/>
      <c r="I1054" s="14" t="s">
        <v>5</v>
      </c>
      <c r="J1054">
        <v>1318.414</v>
      </c>
      <c r="L1054" s="15">
        <v>0.127</v>
      </c>
    </row>
    <row r="1055" spans="2:12" ht="15.75" thickBot="1" x14ac:dyDescent="0.3">
      <c r="B1055" s="5"/>
      <c r="C1055" s="16" t="s">
        <v>6</v>
      </c>
      <c r="D1055">
        <v>1383.77</v>
      </c>
      <c r="E1055" s="17"/>
      <c r="F1055" s="18">
        <v>0.185</v>
      </c>
      <c r="H1055" s="5"/>
      <c r="I1055" s="16" t="s">
        <v>6</v>
      </c>
      <c r="J1055">
        <v>1388.616</v>
      </c>
      <c r="K1055" s="17"/>
      <c r="L1055" s="18">
        <v>0.185</v>
      </c>
    </row>
    <row r="1056" spans="2:12" ht="15.75" thickBot="1" x14ac:dyDescent="0.3">
      <c r="B1056" s="5"/>
      <c r="D1056" s="19"/>
      <c r="F1056" s="19"/>
      <c r="H1056" s="5"/>
      <c r="J1056" s="19"/>
      <c r="L1056" s="19"/>
    </row>
    <row r="1057" spans="2:12" x14ac:dyDescent="0.25">
      <c r="B1057" s="5"/>
      <c r="C1057" s="8" t="s">
        <v>7</v>
      </c>
      <c r="D1057" s="12"/>
      <c r="E1057" s="9"/>
      <c r="F1057" s="10"/>
      <c r="H1057" s="5"/>
      <c r="I1057" s="8" t="s">
        <v>7</v>
      </c>
      <c r="J1057" s="12"/>
      <c r="K1057" s="9"/>
      <c r="L1057" s="10"/>
    </row>
    <row r="1058" spans="2:12" x14ac:dyDescent="0.25">
      <c r="B1058" s="5"/>
      <c r="C1058" s="11" t="s">
        <v>1</v>
      </c>
      <c r="D1058" s="12"/>
      <c r="E1058" s="12"/>
      <c r="F1058" s="13"/>
      <c r="H1058" s="5"/>
      <c r="I1058" s="11" t="s">
        <v>1</v>
      </c>
      <c r="J1058" s="12"/>
      <c r="K1058" s="12"/>
      <c r="L1058" s="13"/>
    </row>
    <row r="1059" spans="2:12" x14ac:dyDescent="0.25">
      <c r="B1059" s="5"/>
      <c r="C1059" s="14"/>
      <c r="D1059" t="s">
        <v>2</v>
      </c>
      <c r="F1059" s="7" t="s">
        <v>3</v>
      </c>
      <c r="H1059" s="5"/>
      <c r="I1059" s="14"/>
      <c r="J1059" t="s">
        <v>2</v>
      </c>
      <c r="L1059" s="7" t="s">
        <v>3</v>
      </c>
    </row>
    <row r="1060" spans="2:12" x14ac:dyDescent="0.25">
      <c r="B1060" s="5"/>
      <c r="C1060" s="14" t="s">
        <v>4</v>
      </c>
      <c r="D1060">
        <v>1325.9159999999999</v>
      </c>
      <c r="F1060" s="20">
        <v>3727.5149999999999</v>
      </c>
      <c r="H1060" s="5"/>
      <c r="I1060" s="14" t="s">
        <v>4</v>
      </c>
      <c r="J1060">
        <v>1329.67</v>
      </c>
      <c r="L1060">
        <v>3737.3690000000001</v>
      </c>
    </row>
    <row r="1061" spans="2:12" x14ac:dyDescent="0.25">
      <c r="B1061" s="5"/>
      <c r="C1061" s="14" t="s">
        <v>5</v>
      </c>
      <c r="D1061">
        <v>761.04899999999998</v>
      </c>
      <c r="F1061" s="21">
        <v>1212.0440000000001</v>
      </c>
      <c r="H1061" s="5"/>
      <c r="I1061" s="14" t="s">
        <v>5</v>
      </c>
      <c r="J1061">
        <v>765.27</v>
      </c>
      <c r="L1061">
        <v>1216.1890000000001</v>
      </c>
    </row>
    <row r="1062" spans="2:12" ht="15.75" thickBot="1" x14ac:dyDescent="0.3">
      <c r="B1062" s="5"/>
      <c r="C1062" s="16" t="s">
        <v>6</v>
      </c>
      <c r="D1062">
        <v>905.08</v>
      </c>
      <c r="E1062" s="17"/>
      <c r="F1062" s="21">
        <v>1622.3510000000001</v>
      </c>
      <c r="H1062" s="5"/>
      <c r="I1062" s="16" t="s">
        <v>6</v>
      </c>
      <c r="J1062">
        <v>909.18700000000001</v>
      </c>
      <c r="K1062" s="17"/>
      <c r="L1062">
        <v>1628.5909999999999</v>
      </c>
    </row>
    <row r="1063" spans="2:12" ht="15.75" thickBot="1" x14ac:dyDescent="0.3">
      <c r="B1063" s="5"/>
      <c r="D1063" s="19"/>
      <c r="F1063" s="19"/>
      <c r="H1063" s="5"/>
      <c r="J1063" s="19"/>
      <c r="L1063" s="19"/>
    </row>
    <row r="1064" spans="2:12" x14ac:dyDescent="0.25">
      <c r="B1064" s="22" t="s">
        <v>8</v>
      </c>
      <c r="C1064" s="23"/>
      <c r="D1064" s="23"/>
      <c r="E1064" s="23"/>
      <c r="F1064" s="7"/>
      <c r="H1064" s="22" t="s">
        <v>8</v>
      </c>
      <c r="I1064" s="23"/>
      <c r="J1064" s="23"/>
      <c r="K1064" s="23"/>
      <c r="L1064" s="7"/>
    </row>
    <row r="1065" spans="2:12" ht="15.75" thickBot="1" x14ac:dyDescent="0.3">
      <c r="B1065" s="24" t="s">
        <v>9</v>
      </c>
      <c r="C1065" s="25"/>
      <c r="D1065" s="25"/>
      <c r="E1065" s="25"/>
      <c r="F1065" s="26"/>
      <c r="H1065" s="24" t="s">
        <v>9</v>
      </c>
      <c r="I1065" s="25"/>
      <c r="J1065" s="25"/>
      <c r="K1065" s="25"/>
      <c r="L1065" s="26"/>
    </row>
    <row r="1066" spans="2:12" x14ac:dyDescent="0.25">
      <c r="C1066" s="27" t="s">
        <v>10</v>
      </c>
      <c r="D1066" s="27"/>
      <c r="E1066" s="27"/>
      <c r="F1066" s="27"/>
      <c r="I1066" s="27" t="s">
        <v>10</v>
      </c>
      <c r="J1066" s="27"/>
      <c r="K1066" s="27"/>
      <c r="L1066" s="27"/>
    </row>
    <row r="1070" spans="2:12" ht="15.75" thickBot="1" x14ac:dyDescent="0.3"/>
    <row r="1071" spans="2:12" x14ac:dyDescent="0.25">
      <c r="B1071" s="1"/>
      <c r="C1071" s="2"/>
      <c r="D1071" s="3">
        <v>45558</v>
      </c>
      <c r="E1071" s="2"/>
      <c r="F1071" s="4"/>
      <c r="H1071" s="1"/>
      <c r="I1071" s="2"/>
      <c r="J1071" s="3">
        <v>45565</v>
      </c>
      <c r="K1071" s="2"/>
      <c r="L1071" s="4"/>
    </row>
    <row r="1072" spans="2:12" x14ac:dyDescent="0.25">
      <c r="B1072" s="5"/>
      <c r="D1072" s="6"/>
      <c r="F1072" s="7"/>
      <c r="H1072" s="5"/>
      <c r="J1072" s="6"/>
      <c r="L1072" s="7"/>
    </row>
    <row r="1073" spans="2:12" x14ac:dyDescent="0.25">
      <c r="B1073" s="5"/>
      <c r="C1073" s="8" t="s">
        <v>0</v>
      </c>
      <c r="D1073" s="9"/>
      <c r="E1073" s="9"/>
      <c r="F1073" s="10"/>
      <c r="H1073" s="5"/>
      <c r="I1073" s="8" t="s">
        <v>0</v>
      </c>
      <c r="J1073" s="9"/>
      <c r="K1073" s="9"/>
      <c r="L1073" s="10"/>
    </row>
    <row r="1074" spans="2:12" x14ac:dyDescent="0.25">
      <c r="B1074" s="5"/>
      <c r="C1074" s="11" t="s">
        <v>1</v>
      </c>
      <c r="D1074" s="12"/>
      <c r="E1074" s="12"/>
      <c r="F1074" s="13"/>
      <c r="H1074" s="5"/>
      <c r="I1074" s="11" t="s">
        <v>1</v>
      </c>
      <c r="J1074" s="12"/>
      <c r="K1074" s="12"/>
      <c r="L1074" s="13"/>
    </row>
    <row r="1075" spans="2:12" x14ac:dyDescent="0.25">
      <c r="B1075" s="5"/>
      <c r="C1075" s="14"/>
      <c r="D1075" t="s">
        <v>2</v>
      </c>
      <c r="F1075" s="7" t="s">
        <v>3</v>
      </c>
      <c r="H1075" s="5"/>
      <c r="I1075" s="14"/>
      <c r="J1075" t="s">
        <v>2</v>
      </c>
      <c r="L1075" s="7" t="s">
        <v>3</v>
      </c>
    </row>
    <row r="1076" spans="2:12" x14ac:dyDescent="0.25">
      <c r="B1076" s="5"/>
      <c r="C1076" s="14" t="s">
        <v>4</v>
      </c>
      <c r="D1076">
        <v>5746.7438000000002</v>
      </c>
      <c r="F1076" s="15">
        <v>5.5440000000000003E-2</v>
      </c>
      <c r="H1076" s="5"/>
      <c r="I1076" s="14" t="s">
        <v>4</v>
      </c>
      <c r="J1076">
        <v>5752.3036000000002</v>
      </c>
      <c r="L1076" s="15">
        <v>5.5879999999999999E-2</v>
      </c>
    </row>
    <row r="1077" spans="2:12" x14ac:dyDescent="0.25">
      <c r="B1077" s="5"/>
      <c r="C1077" s="14" t="s">
        <v>5</v>
      </c>
      <c r="D1077">
        <v>1319.336</v>
      </c>
      <c r="F1077" s="15">
        <v>0.13324</v>
      </c>
      <c r="H1077" s="5"/>
      <c r="I1077" s="14" t="s">
        <v>5</v>
      </c>
      <c r="J1077">
        <v>1320.258</v>
      </c>
      <c r="L1077" s="15">
        <v>0.13347999999999999</v>
      </c>
    </row>
    <row r="1078" spans="2:12" ht="15.75" thickBot="1" x14ac:dyDescent="0.3">
      <c r="B1078" s="5"/>
      <c r="C1078" s="16" t="s">
        <v>6</v>
      </c>
      <c r="D1078">
        <v>1389.8385599999999</v>
      </c>
      <c r="E1078" s="17"/>
      <c r="F1078" s="18">
        <v>0.18528</v>
      </c>
      <c r="H1078" s="5"/>
      <c r="I1078" s="16" t="s">
        <v>6</v>
      </c>
      <c r="J1078">
        <v>1391.0611200000001</v>
      </c>
      <c r="K1078" s="17"/>
      <c r="L1078" s="18">
        <v>0.18556</v>
      </c>
    </row>
    <row r="1079" spans="2:12" ht="15.75" thickBot="1" x14ac:dyDescent="0.3">
      <c r="B1079" s="5"/>
      <c r="D1079" s="19"/>
      <c r="F1079" s="19"/>
      <c r="H1079" s="5"/>
      <c r="J1079" s="19"/>
      <c r="L1079" s="19"/>
    </row>
    <row r="1080" spans="2:12" x14ac:dyDescent="0.25">
      <c r="B1080" s="5"/>
      <c r="C1080" s="8" t="s">
        <v>7</v>
      </c>
      <c r="D1080" s="12"/>
      <c r="E1080" s="9"/>
      <c r="F1080" s="10"/>
      <c r="H1080" s="5"/>
      <c r="I1080" s="8" t="s">
        <v>7</v>
      </c>
      <c r="J1080" s="12"/>
      <c r="K1080" s="9"/>
      <c r="L1080" s="10"/>
    </row>
    <row r="1081" spans="2:12" x14ac:dyDescent="0.25">
      <c r="B1081" s="5"/>
      <c r="C1081" s="11" t="s">
        <v>1</v>
      </c>
      <c r="D1081" s="12"/>
      <c r="E1081" s="12"/>
      <c r="F1081" s="13"/>
      <c r="H1081" s="5"/>
      <c r="I1081" s="11" t="s">
        <v>1</v>
      </c>
      <c r="J1081" s="12"/>
      <c r="K1081" s="12"/>
      <c r="L1081" s="13"/>
    </row>
    <row r="1082" spans="2:12" x14ac:dyDescent="0.25">
      <c r="B1082" s="5"/>
      <c r="C1082" s="14"/>
      <c r="D1082" t="s">
        <v>2</v>
      </c>
      <c r="F1082" s="7" t="s">
        <v>3</v>
      </c>
      <c r="H1082" s="5"/>
      <c r="I1082" s="14"/>
      <c r="J1082" t="s">
        <v>2</v>
      </c>
      <c r="L1082" s="7" t="s">
        <v>3</v>
      </c>
    </row>
    <row r="1083" spans="2:12" x14ac:dyDescent="0.25">
      <c r="B1083" s="5"/>
      <c r="C1083" s="14" t="s">
        <v>4</v>
      </c>
      <c r="D1083">
        <v>1329.8520000000001</v>
      </c>
      <c r="F1083" s="20">
        <v>3787.569</v>
      </c>
      <c r="H1083" s="5"/>
      <c r="I1083" s="14" t="s">
        <v>4</v>
      </c>
      <c r="J1083">
        <v>1330.0340000000001</v>
      </c>
      <c r="L1083">
        <v>3837.7689999999998</v>
      </c>
    </row>
    <row r="1084" spans="2:12" x14ac:dyDescent="0.25">
      <c r="B1084" s="5"/>
      <c r="C1084" s="14" t="s">
        <v>5</v>
      </c>
      <c r="D1084">
        <v>765.27070000000003</v>
      </c>
      <c r="F1084" s="21">
        <v>1227.1489999999999</v>
      </c>
      <c r="H1084" s="5"/>
      <c r="I1084" s="14" t="s">
        <v>5</v>
      </c>
      <c r="J1084">
        <v>765.27139999999997</v>
      </c>
      <c r="L1084">
        <v>1238.1089999999999</v>
      </c>
    </row>
    <row r="1085" spans="2:12" ht="15.75" thickBot="1" x14ac:dyDescent="0.3">
      <c r="B1085" s="5"/>
      <c r="C1085" s="16" t="s">
        <v>6</v>
      </c>
      <c r="D1085">
        <v>909.18700000000001</v>
      </c>
      <c r="E1085" s="17"/>
      <c r="F1085" s="21">
        <v>1640.8710000000001</v>
      </c>
      <c r="H1085" s="5"/>
      <c r="I1085" s="16" t="s">
        <v>6</v>
      </c>
      <c r="J1085">
        <v>909.18700000000001</v>
      </c>
      <c r="K1085" s="17"/>
      <c r="L1085">
        <v>1653.671</v>
      </c>
    </row>
    <row r="1086" spans="2:12" ht="15.75" thickBot="1" x14ac:dyDescent="0.3">
      <c r="B1086" s="5"/>
      <c r="D1086" s="19"/>
      <c r="F1086" s="19"/>
      <c r="H1086" s="5"/>
      <c r="J1086" s="19">
        <f>SUM(J1083:J1085)</f>
        <v>3004.4924000000001</v>
      </c>
      <c r="L1086" s="19">
        <f>SUM(L1083:L1085)</f>
        <v>6729.549</v>
      </c>
    </row>
    <row r="1087" spans="2:12" x14ac:dyDescent="0.25">
      <c r="B1087" s="22" t="s">
        <v>8</v>
      </c>
      <c r="C1087" s="23"/>
      <c r="D1087" s="23"/>
      <c r="E1087" s="23"/>
      <c r="F1087" s="7"/>
      <c r="H1087" s="22" t="s">
        <v>8</v>
      </c>
      <c r="I1087" s="23"/>
      <c r="J1087" s="23"/>
      <c r="K1087" s="23"/>
      <c r="L1087" s="7"/>
    </row>
    <row r="1088" spans="2:12" ht="15.75" thickBot="1" x14ac:dyDescent="0.3">
      <c r="B1088" s="24" t="s">
        <v>9</v>
      </c>
      <c r="C1088" s="25"/>
      <c r="D1088" s="25"/>
      <c r="E1088" s="25"/>
      <c r="F1088" s="26"/>
      <c r="H1088" s="24" t="s">
        <v>9</v>
      </c>
      <c r="I1088" s="25"/>
      <c r="J1088" s="25"/>
      <c r="K1088" s="25"/>
      <c r="L1088" s="26"/>
    </row>
    <row r="1089" spans="2:12" x14ac:dyDescent="0.25">
      <c r="C1089" s="27" t="s">
        <v>10</v>
      </c>
      <c r="D1089" s="27"/>
      <c r="E1089" s="27"/>
      <c r="F1089" s="27"/>
      <c r="I1089" s="27" t="s">
        <v>10</v>
      </c>
      <c r="J1089" s="27"/>
      <c r="K1089" s="27"/>
      <c r="L1089" s="27"/>
    </row>
    <row r="1093" spans="2:12" ht="15.75" thickBot="1" x14ac:dyDescent="0.3"/>
    <row r="1094" spans="2:12" x14ac:dyDescent="0.25">
      <c r="B1094" s="1"/>
      <c r="C1094" s="2"/>
      <c r="D1094" s="3">
        <v>45572</v>
      </c>
      <c r="E1094" s="2"/>
      <c r="F1094" s="4"/>
      <c r="H1094" s="1"/>
      <c r="I1094" s="2"/>
      <c r="J1094" s="3">
        <v>45579</v>
      </c>
      <c r="K1094" s="2"/>
      <c r="L1094" s="4"/>
    </row>
    <row r="1095" spans="2:12" x14ac:dyDescent="0.25">
      <c r="B1095" s="5"/>
      <c r="D1095" s="6"/>
      <c r="F1095" s="7"/>
      <c r="H1095" s="5"/>
      <c r="J1095" s="6"/>
      <c r="L1095" s="7"/>
    </row>
    <row r="1096" spans="2:12" x14ac:dyDescent="0.25">
      <c r="B1096" s="5"/>
      <c r="C1096" s="8" t="s">
        <v>0</v>
      </c>
      <c r="D1096" s="9"/>
      <c r="E1096" s="9"/>
      <c r="F1096" s="10"/>
      <c r="H1096" s="5"/>
      <c r="I1096" s="8" t="s">
        <v>0</v>
      </c>
      <c r="J1096" s="9"/>
      <c r="K1096" s="9"/>
      <c r="L1096" s="10"/>
    </row>
    <row r="1097" spans="2:12" x14ac:dyDescent="0.25">
      <c r="B1097" s="5"/>
      <c r="C1097" s="11" t="s">
        <v>1</v>
      </c>
      <c r="D1097" s="12"/>
      <c r="E1097" s="12"/>
      <c r="F1097" s="13"/>
      <c r="H1097" s="5"/>
      <c r="I1097" s="11" t="s">
        <v>1</v>
      </c>
      <c r="J1097" s="12"/>
      <c r="K1097" s="12"/>
      <c r="L1097" s="13"/>
    </row>
    <row r="1098" spans="2:12" x14ac:dyDescent="0.25">
      <c r="B1098" s="5"/>
      <c r="C1098" s="14"/>
      <c r="D1098" t="s">
        <v>2</v>
      </c>
      <c r="F1098" s="7" t="s">
        <v>3</v>
      </c>
      <c r="H1098" s="5"/>
      <c r="I1098" s="14"/>
      <c r="J1098" t="s">
        <v>2</v>
      </c>
      <c r="L1098" s="7" t="s">
        <v>3</v>
      </c>
    </row>
    <row r="1099" spans="2:12" x14ac:dyDescent="0.25">
      <c r="B1099" s="5"/>
      <c r="C1099" s="14" t="s">
        <v>4</v>
      </c>
      <c r="D1099">
        <v>5757.8634000000002</v>
      </c>
      <c r="F1099" s="15">
        <v>5.6320000000000002E-2</v>
      </c>
      <c r="H1099" s="5"/>
      <c r="I1099" s="14" t="s">
        <v>4</v>
      </c>
      <c r="J1099">
        <v>5763.4232000000002</v>
      </c>
      <c r="L1099" s="15">
        <v>5.6759999999999998E-2</v>
      </c>
    </row>
    <row r="1100" spans="2:12" x14ac:dyDescent="0.25">
      <c r="B1100" s="5"/>
      <c r="C1100" s="14" t="s">
        <v>5</v>
      </c>
      <c r="D1100">
        <v>1321.18</v>
      </c>
      <c r="F1100" s="15">
        <v>0.13372000000000001</v>
      </c>
      <c r="H1100" s="5"/>
      <c r="I1100" s="14" t="s">
        <v>5</v>
      </c>
      <c r="J1100">
        <v>1322.1020000000001</v>
      </c>
      <c r="L1100" s="15">
        <v>0.13396</v>
      </c>
    </row>
    <row r="1101" spans="2:12" ht="15.75" thickBot="1" x14ac:dyDescent="0.3">
      <c r="B1101" s="5"/>
      <c r="C1101" s="16" t="s">
        <v>6</v>
      </c>
      <c r="D1101">
        <v>1392.28368</v>
      </c>
      <c r="E1101" s="17"/>
      <c r="F1101" s="18">
        <v>0.18584000000000001</v>
      </c>
      <c r="H1101" s="5"/>
      <c r="I1101" s="16" t="s">
        <v>6</v>
      </c>
      <c r="J1101">
        <v>1393.5062399999999</v>
      </c>
      <c r="K1101" s="17"/>
      <c r="L1101" s="18">
        <v>0.18612000000000001</v>
      </c>
    </row>
    <row r="1102" spans="2:12" ht="15.75" thickBot="1" x14ac:dyDescent="0.3">
      <c r="B1102" s="5"/>
      <c r="D1102" s="19"/>
      <c r="F1102" s="19"/>
      <c r="H1102" s="5"/>
      <c r="J1102" s="19"/>
      <c r="L1102" s="19"/>
    </row>
    <row r="1103" spans="2:12" x14ac:dyDescent="0.25">
      <c r="B1103" s="5"/>
      <c r="C1103" s="8" t="s">
        <v>7</v>
      </c>
      <c r="D1103" s="12"/>
      <c r="E1103" s="9"/>
      <c r="F1103" s="10"/>
      <c r="H1103" s="5"/>
      <c r="I1103" s="8" t="s">
        <v>7</v>
      </c>
      <c r="J1103" s="12"/>
      <c r="K1103" s="9"/>
      <c r="L1103" s="10"/>
    </row>
    <row r="1104" spans="2:12" x14ac:dyDescent="0.25">
      <c r="B1104" s="5"/>
      <c r="C1104" s="11" t="s">
        <v>1</v>
      </c>
      <c r="D1104" s="12"/>
      <c r="E1104" s="12"/>
      <c r="F1104" s="13"/>
      <c r="H1104" s="5"/>
      <c r="I1104" s="11" t="s">
        <v>1</v>
      </c>
      <c r="J1104" s="12"/>
      <c r="K1104" s="12"/>
      <c r="L1104" s="13"/>
    </row>
    <row r="1105" spans="2:12" x14ac:dyDescent="0.25">
      <c r="B1105" s="5"/>
      <c r="C1105" s="14"/>
      <c r="D1105" t="s">
        <v>2</v>
      </c>
      <c r="F1105" s="7" t="s">
        <v>3</v>
      </c>
      <c r="H1105" s="5"/>
      <c r="I1105" s="14"/>
      <c r="J1105" t="s">
        <v>2</v>
      </c>
      <c r="L1105" s="7" t="s">
        <v>3</v>
      </c>
    </row>
    <row r="1106" spans="2:12" x14ac:dyDescent="0.25">
      <c r="B1106" s="5"/>
      <c r="C1106" s="14" t="s">
        <v>4</v>
      </c>
      <c r="D1106">
        <v>1330.2159999999999</v>
      </c>
      <c r="F1106" s="20">
        <v>3887.9690000000001</v>
      </c>
      <c r="H1106" s="5"/>
      <c r="I1106" s="14" t="s">
        <v>4</v>
      </c>
      <c r="J1106">
        <v>1330.3979999999999</v>
      </c>
      <c r="L1106">
        <v>3938.1689999999999</v>
      </c>
    </row>
    <row r="1107" spans="2:12" x14ac:dyDescent="0.25">
      <c r="B1107" s="5"/>
      <c r="C1107" s="14" t="s">
        <v>5</v>
      </c>
      <c r="D1107">
        <v>765.27210000000002</v>
      </c>
      <c r="F1107" s="21">
        <v>1249.069</v>
      </c>
      <c r="H1107" s="5"/>
      <c r="I1107" s="14" t="s">
        <v>5</v>
      </c>
      <c r="J1107">
        <v>765.27279999999996</v>
      </c>
      <c r="L1107">
        <v>1260.029</v>
      </c>
    </row>
    <row r="1108" spans="2:12" ht="15.75" thickBot="1" x14ac:dyDescent="0.3">
      <c r="B1108" s="5"/>
      <c r="C1108" s="16" t="s">
        <v>6</v>
      </c>
      <c r="D1108">
        <v>909.18700000000001</v>
      </c>
      <c r="E1108" s="17"/>
      <c r="F1108" s="21">
        <v>1666.471</v>
      </c>
      <c r="H1108" s="5"/>
      <c r="I1108" s="16" t="s">
        <v>6</v>
      </c>
      <c r="J1108">
        <v>909.18700000000001</v>
      </c>
      <c r="K1108" s="17"/>
      <c r="L1108">
        <v>1678.751</v>
      </c>
    </row>
    <row r="1109" spans="2:12" ht="15.75" thickBot="1" x14ac:dyDescent="0.3">
      <c r="B1109" s="5"/>
      <c r="D1109" s="19">
        <f>SUM(D1106:D1108)</f>
        <v>3004.6750999999999</v>
      </c>
      <c r="F1109" s="19"/>
      <c r="H1109" s="5"/>
      <c r="J1109" s="19">
        <f>SUM(J1106:J1108)</f>
        <v>3004.8577999999998</v>
      </c>
      <c r="L1109" s="19"/>
    </row>
    <row r="1110" spans="2:12" x14ac:dyDescent="0.25">
      <c r="B1110" s="22" t="s">
        <v>8</v>
      </c>
      <c r="C1110" s="23"/>
      <c r="D1110" s="23"/>
      <c r="E1110" s="23"/>
      <c r="F1110" s="7"/>
      <c r="H1110" s="22" t="s">
        <v>8</v>
      </c>
      <c r="I1110" s="23"/>
      <c r="J1110" s="23"/>
      <c r="K1110" s="23"/>
      <c r="L1110" s="7"/>
    </row>
    <row r="1111" spans="2:12" ht="15.75" thickBot="1" x14ac:dyDescent="0.3">
      <c r="B1111" s="24" t="s">
        <v>9</v>
      </c>
      <c r="C1111" s="25"/>
      <c r="D1111" s="25"/>
      <c r="E1111" s="25"/>
      <c r="F1111" s="26"/>
      <c r="H1111" s="24" t="s">
        <v>9</v>
      </c>
      <c r="I1111" s="25"/>
      <c r="J1111" s="25"/>
      <c r="K1111" s="25"/>
      <c r="L1111" s="26"/>
    </row>
    <row r="1112" spans="2:12" x14ac:dyDescent="0.25">
      <c r="C1112" s="27" t="s">
        <v>10</v>
      </c>
      <c r="D1112" s="27"/>
      <c r="E1112" s="27"/>
      <c r="F1112" s="27"/>
      <c r="I1112" s="27" t="s">
        <v>10</v>
      </c>
      <c r="J1112" s="27"/>
      <c r="K1112" s="27"/>
      <c r="L1112" s="27"/>
    </row>
    <row r="1116" spans="2:12" ht="15.75" thickBot="1" x14ac:dyDescent="0.3"/>
    <row r="1117" spans="2:12" x14ac:dyDescent="0.25">
      <c r="B1117" s="1"/>
      <c r="C1117" s="2"/>
      <c r="D1117" s="3">
        <v>45586</v>
      </c>
      <c r="E1117" s="2"/>
      <c r="F1117" s="4"/>
      <c r="H1117" s="1"/>
      <c r="I1117" s="2"/>
      <c r="J1117" s="3">
        <v>45593</v>
      </c>
      <c r="K1117" s="2"/>
      <c r="L1117" s="4"/>
    </row>
    <row r="1118" spans="2:12" x14ac:dyDescent="0.25">
      <c r="B1118" s="5"/>
      <c r="D1118" s="6"/>
      <c r="F1118" s="7"/>
      <c r="H1118" s="5"/>
      <c r="J1118" s="6"/>
      <c r="L1118" s="7"/>
    </row>
    <row r="1119" spans="2:12" x14ac:dyDescent="0.25">
      <c r="B1119" s="5"/>
      <c r="C1119" s="8" t="s">
        <v>0</v>
      </c>
      <c r="D1119" s="9"/>
      <c r="E1119" s="9"/>
      <c r="F1119" s="10"/>
      <c r="H1119" s="5"/>
      <c r="I1119" s="8" t="s">
        <v>0</v>
      </c>
      <c r="J1119" s="9"/>
      <c r="K1119" s="9"/>
      <c r="L1119" s="10"/>
    </row>
    <row r="1120" spans="2:12" x14ac:dyDescent="0.25">
      <c r="B1120" s="5"/>
      <c r="C1120" s="11" t="s">
        <v>1</v>
      </c>
      <c r="D1120" s="12"/>
      <c r="E1120" s="12"/>
      <c r="F1120" s="13"/>
      <c r="H1120" s="5"/>
      <c r="I1120" s="11" t="s">
        <v>1</v>
      </c>
      <c r="J1120" s="12"/>
      <c r="K1120" s="12"/>
      <c r="L1120" s="13"/>
    </row>
    <row r="1121" spans="2:12" x14ac:dyDescent="0.25">
      <c r="B1121" s="5"/>
      <c r="C1121" s="14"/>
      <c r="D1121" t="s">
        <v>2</v>
      </c>
      <c r="F1121" s="7" t="s">
        <v>3</v>
      </c>
      <c r="H1121" s="5"/>
      <c r="I1121" s="14"/>
      <c r="J1121" t="s">
        <v>2</v>
      </c>
      <c r="L1121" s="7" t="s">
        <v>3</v>
      </c>
    </row>
    <row r="1122" spans="2:12" x14ac:dyDescent="0.25">
      <c r="B1122" s="5"/>
      <c r="C1122" s="14" t="s">
        <v>4</v>
      </c>
      <c r="D1122">
        <v>5768.9830000000002</v>
      </c>
      <c r="F1122" s="15">
        <v>5.7200000000000001E-2</v>
      </c>
      <c r="H1122" s="5"/>
      <c r="I1122" s="14" t="s">
        <v>4</v>
      </c>
      <c r="J1122">
        <v>5774.5428000000002</v>
      </c>
      <c r="L1122" s="15">
        <v>5.7639999999999997E-2</v>
      </c>
    </row>
    <row r="1123" spans="2:12" x14ac:dyDescent="0.25">
      <c r="B1123" s="5"/>
      <c r="C1123" s="14" t="s">
        <v>5</v>
      </c>
      <c r="D1123">
        <v>1323.0239999999999</v>
      </c>
      <c r="F1123" s="15">
        <v>0.13420000000000001</v>
      </c>
      <c r="H1123" s="5"/>
      <c r="I1123" s="14" t="s">
        <v>5</v>
      </c>
      <c r="J1123">
        <v>1323.9459999999999</v>
      </c>
      <c r="L1123" s="15">
        <v>0.13444</v>
      </c>
    </row>
    <row r="1124" spans="2:12" ht="15.75" thickBot="1" x14ac:dyDescent="0.3">
      <c r="B1124" s="5"/>
      <c r="C1124" s="16" t="s">
        <v>6</v>
      </c>
      <c r="D1124">
        <v>1394.7288000000001</v>
      </c>
      <c r="E1124" s="17"/>
      <c r="F1124" s="18">
        <v>0.18640000000000001</v>
      </c>
      <c r="H1124" s="5"/>
      <c r="I1124" s="16" t="s">
        <v>6</v>
      </c>
      <c r="J1124">
        <v>1395.95136</v>
      </c>
      <c r="K1124" s="17"/>
      <c r="L1124" s="18">
        <v>0.18668000000000001</v>
      </c>
    </row>
    <row r="1125" spans="2:12" ht="15.75" thickBot="1" x14ac:dyDescent="0.3">
      <c r="B1125" s="5"/>
      <c r="D1125" s="19"/>
      <c r="F1125" s="19"/>
      <c r="H1125" s="5"/>
      <c r="J1125" s="19"/>
      <c r="L1125" s="19"/>
    </row>
    <row r="1126" spans="2:12" x14ac:dyDescent="0.25">
      <c r="B1126" s="5"/>
      <c r="C1126" s="8" t="s">
        <v>7</v>
      </c>
      <c r="D1126" s="12"/>
      <c r="E1126" s="9"/>
      <c r="F1126" s="10"/>
      <c r="H1126" s="5"/>
      <c r="I1126" s="8" t="s">
        <v>7</v>
      </c>
      <c r="J1126" s="12"/>
      <c r="K1126" s="9"/>
      <c r="L1126" s="10"/>
    </row>
    <row r="1127" spans="2:12" x14ac:dyDescent="0.25">
      <c r="B1127" s="5"/>
      <c r="C1127" s="11" t="s">
        <v>1</v>
      </c>
      <c r="D1127" s="12"/>
      <c r="E1127" s="12"/>
      <c r="F1127" s="13"/>
      <c r="H1127" s="5"/>
      <c r="I1127" s="11" t="s">
        <v>1</v>
      </c>
      <c r="J1127" s="12"/>
      <c r="K1127" s="12"/>
      <c r="L1127" s="13"/>
    </row>
    <row r="1128" spans="2:12" x14ac:dyDescent="0.25">
      <c r="B1128" s="5"/>
      <c r="C1128" s="14"/>
      <c r="D1128" t="s">
        <v>2</v>
      </c>
      <c r="F1128" s="7" t="s">
        <v>3</v>
      </c>
      <c r="H1128" s="5"/>
      <c r="I1128" s="14"/>
      <c r="J1128" t="s">
        <v>2</v>
      </c>
      <c r="L1128" s="7" t="s">
        <v>3</v>
      </c>
    </row>
    <row r="1129" spans="2:12" x14ac:dyDescent="0.25">
      <c r="B1129" s="5"/>
      <c r="C1129" s="14" t="s">
        <v>4</v>
      </c>
      <c r="D1129">
        <v>1330.58</v>
      </c>
      <c r="F1129" s="20">
        <v>3988.3690000000001</v>
      </c>
      <c r="H1129" s="5"/>
      <c r="I1129" s="14" t="s">
        <v>4</v>
      </c>
      <c r="J1129">
        <v>1330.7619999999999</v>
      </c>
      <c r="L1129">
        <v>4038.569</v>
      </c>
    </row>
    <row r="1130" spans="2:12" x14ac:dyDescent="0.25">
      <c r="B1130" s="5"/>
      <c r="C1130" s="14" t="s">
        <v>5</v>
      </c>
      <c r="D1130">
        <v>765.27350000000001</v>
      </c>
      <c r="F1130" s="21">
        <v>1270.989</v>
      </c>
      <c r="H1130" s="5"/>
      <c r="I1130" s="14" t="s">
        <v>5</v>
      </c>
      <c r="J1130">
        <v>765.27419999999995</v>
      </c>
      <c r="L1130">
        <v>1281.9490000000001</v>
      </c>
    </row>
    <row r="1131" spans="2:12" ht="15.75" thickBot="1" x14ac:dyDescent="0.3">
      <c r="B1131" s="5"/>
      <c r="C1131" s="16" t="s">
        <v>6</v>
      </c>
      <c r="D1131">
        <v>909.18700000000001</v>
      </c>
      <c r="E1131" s="17"/>
      <c r="F1131" s="21">
        <v>1691.0309999999999</v>
      </c>
      <c r="H1131" s="5"/>
      <c r="I1131" s="16" t="s">
        <v>6</v>
      </c>
      <c r="J1131">
        <v>909.18700000000001</v>
      </c>
      <c r="K1131" s="17"/>
      <c r="L1131">
        <v>1703.3109999999999</v>
      </c>
    </row>
    <row r="1132" spans="2:12" ht="15.75" thickBot="1" x14ac:dyDescent="0.3">
      <c r="B1132" s="5"/>
      <c r="D1132" s="19">
        <f>SUM(D1129:D1131)</f>
        <v>3005.0405000000001</v>
      </c>
      <c r="F1132" s="19"/>
      <c r="H1132" s="5"/>
      <c r="J1132" s="19">
        <f>SUM(J1129:J1131)</f>
        <v>3005.2231999999999</v>
      </c>
      <c r="L1132" s="19">
        <f>SUM(L1129:L1131)</f>
        <v>7023.8289999999997</v>
      </c>
    </row>
    <row r="1133" spans="2:12" x14ac:dyDescent="0.25">
      <c r="B1133" s="22" t="s">
        <v>8</v>
      </c>
      <c r="C1133" s="23"/>
      <c r="D1133" s="23"/>
      <c r="E1133" s="23"/>
      <c r="F1133" s="7"/>
      <c r="H1133" s="22" t="s">
        <v>8</v>
      </c>
      <c r="I1133" s="23"/>
      <c r="J1133" s="23"/>
      <c r="K1133" s="23"/>
      <c r="L1133" s="7"/>
    </row>
    <row r="1134" spans="2:12" ht="15.75" thickBot="1" x14ac:dyDescent="0.3">
      <c r="B1134" s="24" t="s">
        <v>9</v>
      </c>
      <c r="C1134" s="25"/>
      <c r="D1134" s="25"/>
      <c r="E1134" s="25"/>
      <c r="F1134" s="26"/>
      <c r="H1134" s="24" t="s">
        <v>9</v>
      </c>
      <c r="I1134" s="25"/>
      <c r="J1134" s="25"/>
      <c r="K1134" s="25"/>
      <c r="L1134" s="26"/>
    </row>
    <row r="1135" spans="2:12" x14ac:dyDescent="0.25">
      <c r="C1135" s="27" t="s">
        <v>10</v>
      </c>
      <c r="D1135" s="27"/>
      <c r="E1135" s="27"/>
      <c r="F1135" s="27"/>
      <c r="I1135" s="27" t="s">
        <v>10</v>
      </c>
      <c r="J1135" s="27"/>
      <c r="K1135" s="27"/>
      <c r="L1135" s="27"/>
    </row>
    <row r="1139" spans="2:12" ht="13.5" customHeight="1" thickBot="1" x14ac:dyDescent="0.3"/>
    <row r="1140" spans="2:12" x14ac:dyDescent="0.25">
      <c r="B1140" s="1"/>
      <c r="C1140" s="2"/>
      <c r="D1140" s="3">
        <v>45600</v>
      </c>
      <c r="E1140" s="2"/>
      <c r="F1140" s="4"/>
      <c r="H1140" s="1"/>
      <c r="I1140" s="2"/>
      <c r="J1140" s="3">
        <v>45607</v>
      </c>
      <c r="K1140" s="2"/>
      <c r="L1140" s="4"/>
    </row>
    <row r="1141" spans="2:12" x14ac:dyDescent="0.25">
      <c r="B1141" s="5"/>
      <c r="D1141" s="6"/>
      <c r="F1141" s="7"/>
      <c r="H1141" s="5"/>
      <c r="J1141" s="6"/>
      <c r="L1141" s="7"/>
    </row>
    <row r="1142" spans="2:12" x14ac:dyDescent="0.25">
      <c r="B1142" s="5"/>
      <c r="C1142" s="8" t="s">
        <v>0</v>
      </c>
      <c r="D1142" s="9"/>
      <c r="E1142" s="9"/>
      <c r="F1142" s="10"/>
      <c r="H1142" s="5"/>
      <c r="I1142" s="8" t="s">
        <v>0</v>
      </c>
      <c r="J1142" s="9"/>
      <c r="K1142" s="9"/>
      <c r="L1142" s="10"/>
    </row>
    <row r="1143" spans="2:12" x14ac:dyDescent="0.25">
      <c r="B1143" s="5"/>
      <c r="C1143" s="11" t="s">
        <v>1</v>
      </c>
      <c r="D1143" s="12"/>
      <c r="E1143" s="12"/>
      <c r="F1143" s="13"/>
      <c r="H1143" s="5"/>
      <c r="I1143" s="11" t="s">
        <v>1</v>
      </c>
      <c r="J1143" s="12"/>
      <c r="K1143" s="12"/>
      <c r="L1143" s="13"/>
    </row>
    <row r="1144" spans="2:12" x14ac:dyDescent="0.25">
      <c r="B1144" s="5"/>
      <c r="C1144" s="14"/>
      <c r="D1144" t="s">
        <v>2</v>
      </c>
      <c r="F1144" s="7" t="s">
        <v>3</v>
      </c>
      <c r="H1144" s="5"/>
      <c r="I1144" s="14"/>
      <c r="J1144" t="s">
        <v>2</v>
      </c>
      <c r="L1144" s="7" t="s">
        <v>3</v>
      </c>
    </row>
    <row r="1145" spans="2:12" x14ac:dyDescent="0.25">
      <c r="B1145" s="5"/>
      <c r="C1145" s="14" t="s">
        <v>4</v>
      </c>
      <c r="D1145">
        <v>5780.1026000000002</v>
      </c>
      <c r="F1145" s="15">
        <v>5.808E-2</v>
      </c>
      <c r="H1145" s="5"/>
      <c r="I1145" s="14" t="s">
        <v>4</v>
      </c>
      <c r="J1145">
        <v>5785.6624000000002</v>
      </c>
      <c r="L1145" s="15">
        <v>5.8520000000000003E-2</v>
      </c>
    </row>
    <row r="1146" spans="2:12" x14ac:dyDescent="0.25">
      <c r="B1146" s="5"/>
      <c r="C1146" s="14" t="s">
        <v>5</v>
      </c>
      <c r="D1146">
        <v>1324.8679999999999</v>
      </c>
      <c r="F1146" s="15">
        <v>0.13467999999999999</v>
      </c>
      <c r="H1146" s="5"/>
      <c r="I1146" s="14" t="s">
        <v>5</v>
      </c>
      <c r="J1146">
        <v>1325.79</v>
      </c>
      <c r="L1146" s="15">
        <v>0.13492000000000001</v>
      </c>
    </row>
    <row r="1147" spans="2:12" ht="15.75" thickBot="1" x14ac:dyDescent="0.3">
      <c r="B1147" s="5"/>
      <c r="C1147" s="16" t="s">
        <v>6</v>
      </c>
      <c r="D1147">
        <v>1397.17392</v>
      </c>
      <c r="E1147" s="17"/>
      <c r="F1147" s="18">
        <v>0.18695999999999999</v>
      </c>
      <c r="H1147" s="5"/>
      <c r="I1147" s="16" t="s">
        <v>6</v>
      </c>
      <c r="J1147">
        <v>1398.3964800000001</v>
      </c>
      <c r="K1147" s="17"/>
      <c r="L1147" s="18">
        <v>0.18723999999999999</v>
      </c>
    </row>
    <row r="1148" spans="2:12" ht="15.75" thickBot="1" x14ac:dyDescent="0.3">
      <c r="B1148" s="5"/>
      <c r="D1148" s="19"/>
      <c r="F1148" s="19"/>
      <c r="H1148" s="5"/>
      <c r="J1148" s="19"/>
      <c r="L1148" s="19"/>
    </row>
    <row r="1149" spans="2:12" x14ac:dyDescent="0.25">
      <c r="B1149" s="5"/>
      <c r="C1149" s="8" t="s">
        <v>7</v>
      </c>
      <c r="D1149" s="12"/>
      <c r="E1149" s="9"/>
      <c r="F1149" s="10"/>
      <c r="H1149" s="5"/>
      <c r="I1149" s="8" t="s">
        <v>7</v>
      </c>
      <c r="J1149" s="12"/>
      <c r="K1149" s="9"/>
      <c r="L1149" s="10"/>
    </row>
    <row r="1150" spans="2:12" x14ac:dyDescent="0.25">
      <c r="B1150" s="5"/>
      <c r="C1150" s="11" t="s">
        <v>1</v>
      </c>
      <c r="D1150" s="12"/>
      <c r="E1150" s="12"/>
      <c r="F1150" s="13"/>
      <c r="H1150" s="5"/>
      <c r="I1150" s="11" t="s">
        <v>1</v>
      </c>
      <c r="J1150" s="12"/>
      <c r="K1150" s="12"/>
      <c r="L1150" s="13"/>
    </row>
    <row r="1151" spans="2:12" x14ac:dyDescent="0.25">
      <c r="B1151" s="5"/>
      <c r="C1151" s="14"/>
      <c r="D1151" t="s">
        <v>2</v>
      </c>
      <c r="F1151" s="7" t="s">
        <v>3</v>
      </c>
      <c r="H1151" s="5"/>
      <c r="I1151" s="14"/>
      <c r="J1151" t="s">
        <v>2</v>
      </c>
      <c r="L1151" s="7" t="s">
        <v>3</v>
      </c>
    </row>
    <row r="1152" spans="2:12" x14ac:dyDescent="0.25">
      <c r="B1152" s="5"/>
      <c r="C1152" s="14" t="s">
        <v>4</v>
      </c>
      <c r="D1152">
        <v>1330.944</v>
      </c>
      <c r="F1152" s="20">
        <v>4088.7689999999998</v>
      </c>
      <c r="H1152" s="5"/>
      <c r="I1152" s="14" t="s">
        <v>4</v>
      </c>
      <c r="J1152">
        <v>1331.126</v>
      </c>
      <c r="L1152">
        <v>4138.9690000000001</v>
      </c>
    </row>
    <row r="1153" spans="2:12" x14ac:dyDescent="0.25">
      <c r="B1153" s="5"/>
      <c r="C1153" s="14" t="s">
        <v>5</v>
      </c>
      <c r="D1153">
        <v>765.2749</v>
      </c>
      <c r="F1153" s="21">
        <v>1292.9090000000001</v>
      </c>
      <c r="H1153" s="5"/>
      <c r="I1153" s="14" t="s">
        <v>5</v>
      </c>
      <c r="J1153">
        <v>765.27560000000005</v>
      </c>
      <c r="L1153">
        <v>1303.8689999999999</v>
      </c>
    </row>
    <row r="1154" spans="2:12" ht="15.75" thickBot="1" x14ac:dyDescent="0.3">
      <c r="B1154" s="5"/>
      <c r="C1154" s="16" t="s">
        <v>6</v>
      </c>
      <c r="D1154">
        <v>909.18700000000001</v>
      </c>
      <c r="E1154" s="17"/>
      <c r="F1154" s="21">
        <v>1715.5909999999999</v>
      </c>
      <c r="H1154" s="5"/>
      <c r="I1154" s="16" t="s">
        <v>6</v>
      </c>
      <c r="J1154">
        <v>909.18700000000001</v>
      </c>
      <c r="K1154" s="17"/>
      <c r="L1154">
        <v>1727.8710000000001</v>
      </c>
    </row>
    <row r="1155" spans="2:12" ht="15.75" thickBot="1" x14ac:dyDescent="0.3">
      <c r="B1155" s="5"/>
      <c r="D1155" s="19">
        <f>SUM(D1152:D1154)</f>
        <v>3005.4058999999997</v>
      </c>
      <c r="F1155" s="19">
        <f>SUM(F1152:F1154)</f>
        <v>7097.2690000000002</v>
      </c>
      <c r="H1155" s="5"/>
      <c r="J1155" s="19">
        <f>SUM(J1152:J1154)</f>
        <v>3005.5886</v>
      </c>
      <c r="L1155" s="19">
        <f>SUM(L1152:L1154)</f>
        <v>7170.7089999999998</v>
      </c>
    </row>
    <row r="1156" spans="2:12" x14ac:dyDescent="0.25">
      <c r="B1156" s="22" t="s">
        <v>8</v>
      </c>
      <c r="C1156" s="23"/>
      <c r="D1156" s="23"/>
      <c r="E1156" s="23"/>
      <c r="F1156" s="7"/>
      <c r="H1156" s="22" t="s">
        <v>8</v>
      </c>
      <c r="I1156" s="23"/>
      <c r="J1156" s="23"/>
      <c r="K1156" s="23"/>
      <c r="L1156" s="7"/>
    </row>
    <row r="1157" spans="2:12" ht="15.75" thickBot="1" x14ac:dyDescent="0.3">
      <c r="B1157" s="24" t="s">
        <v>9</v>
      </c>
      <c r="C1157" s="25"/>
      <c r="D1157" s="25"/>
      <c r="E1157" s="25"/>
      <c r="F1157" s="26"/>
      <c r="H1157" s="24" t="s">
        <v>9</v>
      </c>
      <c r="I1157" s="25"/>
      <c r="J1157" s="25"/>
      <c r="K1157" s="25"/>
      <c r="L1157" s="26"/>
    </row>
    <row r="1158" spans="2:12" x14ac:dyDescent="0.25">
      <c r="C1158" s="27" t="s">
        <v>10</v>
      </c>
      <c r="D1158" s="27"/>
      <c r="E1158" s="27"/>
      <c r="F1158" s="27"/>
      <c r="I1158" s="27" t="s">
        <v>10</v>
      </c>
      <c r="J1158" s="27"/>
      <c r="K1158" s="27"/>
      <c r="L1158" s="27"/>
    </row>
    <row r="1162" spans="2:12" ht="15.75" thickBot="1" x14ac:dyDescent="0.3"/>
    <row r="1163" spans="2:12" x14ac:dyDescent="0.25">
      <c r="B1163" s="1"/>
      <c r="C1163" s="2"/>
      <c r="D1163" s="3">
        <v>45614</v>
      </c>
      <c r="E1163" s="2"/>
      <c r="F1163" s="4"/>
      <c r="H1163" s="1"/>
      <c r="I1163" s="2"/>
      <c r="J1163" s="3">
        <v>45621</v>
      </c>
      <c r="K1163" s="2"/>
      <c r="L1163" s="4"/>
    </row>
    <row r="1164" spans="2:12" x14ac:dyDescent="0.25">
      <c r="B1164" s="5"/>
      <c r="D1164" s="6"/>
      <c r="F1164" s="7"/>
      <c r="H1164" s="5"/>
      <c r="J1164" s="6"/>
      <c r="L1164" s="7"/>
    </row>
    <row r="1165" spans="2:12" x14ac:dyDescent="0.25">
      <c r="B1165" s="5"/>
      <c r="C1165" s="8" t="s">
        <v>0</v>
      </c>
      <c r="D1165" s="9"/>
      <c r="E1165" s="9"/>
      <c r="F1165" s="10"/>
      <c r="H1165" s="5"/>
      <c r="I1165" s="8" t="s">
        <v>0</v>
      </c>
      <c r="J1165" s="9"/>
      <c r="K1165" s="9"/>
      <c r="L1165" s="10"/>
    </row>
    <row r="1166" spans="2:12" x14ac:dyDescent="0.25">
      <c r="B1166" s="5"/>
      <c r="C1166" s="11" t="s">
        <v>1</v>
      </c>
      <c r="D1166" s="12"/>
      <c r="E1166" s="12"/>
      <c r="F1166" s="13"/>
      <c r="H1166" s="5"/>
      <c r="I1166" s="11" t="s">
        <v>1</v>
      </c>
      <c r="J1166" s="12"/>
      <c r="K1166" s="12"/>
      <c r="L1166" s="13"/>
    </row>
    <row r="1167" spans="2:12" x14ac:dyDescent="0.25">
      <c r="B1167" s="5"/>
      <c r="C1167" s="14"/>
      <c r="D1167" t="s">
        <v>2</v>
      </c>
      <c r="F1167" s="7" t="s">
        <v>3</v>
      </c>
      <c r="H1167" s="5"/>
      <c r="I1167" s="14"/>
      <c r="J1167" t="s">
        <v>2</v>
      </c>
      <c r="L1167" s="7" t="s">
        <v>3</v>
      </c>
    </row>
    <row r="1168" spans="2:12" x14ac:dyDescent="0.25">
      <c r="B1168" s="5"/>
      <c r="C1168" s="14" t="s">
        <v>4</v>
      </c>
      <c r="D1168">
        <v>5791.2222000000002</v>
      </c>
      <c r="F1168" s="15">
        <v>5.8959999999999999E-2</v>
      </c>
      <c r="H1168" s="5"/>
      <c r="I1168" s="14" t="s">
        <v>4</v>
      </c>
      <c r="J1168">
        <v>5796.7820000000002</v>
      </c>
      <c r="L1168" s="15">
        <v>5.9400000000000001E-2</v>
      </c>
    </row>
    <row r="1169" spans="2:12" x14ac:dyDescent="0.25">
      <c r="B1169" s="5"/>
      <c r="C1169" s="14" t="s">
        <v>5</v>
      </c>
      <c r="D1169">
        <v>1326.712</v>
      </c>
      <c r="F1169" s="15">
        <v>0.13516</v>
      </c>
      <c r="H1169" s="5"/>
      <c r="I1169" s="14" t="s">
        <v>5</v>
      </c>
      <c r="J1169">
        <v>1327.634</v>
      </c>
      <c r="L1169" s="15">
        <v>0.13539999999999999</v>
      </c>
    </row>
    <row r="1170" spans="2:12" ht="15.75" thickBot="1" x14ac:dyDescent="0.3">
      <c r="B1170" s="5"/>
      <c r="C1170" s="16" t="s">
        <v>6</v>
      </c>
      <c r="D1170">
        <v>1399.61904</v>
      </c>
      <c r="E1170" s="17"/>
      <c r="F1170" s="18">
        <v>0.18751999999999999</v>
      </c>
      <c r="H1170" s="5"/>
      <c r="I1170" s="16" t="s">
        <v>6</v>
      </c>
      <c r="J1170">
        <v>1400.8416</v>
      </c>
      <c r="K1170" s="17"/>
      <c r="L1170" s="18">
        <v>0.18779999999999999</v>
      </c>
    </row>
    <row r="1171" spans="2:12" ht="15.75" thickBot="1" x14ac:dyDescent="0.3">
      <c r="B1171" s="5"/>
      <c r="D1171" s="19"/>
      <c r="F1171" s="19"/>
      <c r="H1171" s="5"/>
      <c r="J1171" s="19"/>
      <c r="L1171" s="19"/>
    </row>
    <row r="1172" spans="2:12" x14ac:dyDescent="0.25">
      <c r="B1172" s="5"/>
      <c r="C1172" s="8" t="s">
        <v>7</v>
      </c>
      <c r="D1172" s="12"/>
      <c r="E1172" s="9"/>
      <c r="F1172" s="10"/>
      <c r="H1172" s="5"/>
      <c r="I1172" s="8" t="s">
        <v>7</v>
      </c>
      <c r="J1172" s="12"/>
      <c r="K1172" s="9"/>
      <c r="L1172" s="10"/>
    </row>
    <row r="1173" spans="2:12" x14ac:dyDescent="0.25">
      <c r="B1173" s="5"/>
      <c r="C1173" s="11" t="s">
        <v>1</v>
      </c>
      <c r="D1173" s="12"/>
      <c r="E1173" s="12"/>
      <c r="F1173" s="13"/>
      <c r="H1173" s="5"/>
      <c r="I1173" s="11" t="s">
        <v>1</v>
      </c>
      <c r="J1173" s="12"/>
      <c r="K1173" s="12"/>
      <c r="L1173" s="13"/>
    </row>
    <row r="1174" spans="2:12" x14ac:dyDescent="0.25">
      <c r="B1174" s="5"/>
      <c r="C1174" s="14"/>
      <c r="D1174" t="s">
        <v>2</v>
      </c>
      <c r="F1174" s="7" t="s">
        <v>3</v>
      </c>
      <c r="H1174" s="5"/>
      <c r="I1174" s="14"/>
      <c r="J1174" t="s">
        <v>2</v>
      </c>
      <c r="L1174" s="7" t="s">
        <v>3</v>
      </c>
    </row>
    <row r="1175" spans="2:12" x14ac:dyDescent="0.25">
      <c r="B1175" s="5"/>
      <c r="C1175" s="14" t="s">
        <v>4</v>
      </c>
      <c r="D1175">
        <v>1331.308</v>
      </c>
      <c r="F1175" s="20">
        <v>4189.1689999999999</v>
      </c>
      <c r="H1175" s="5"/>
      <c r="I1175" s="14" t="s">
        <v>4</v>
      </c>
      <c r="J1175">
        <v>1331.49</v>
      </c>
      <c r="L1175">
        <v>4239.3689999999997</v>
      </c>
    </row>
    <row r="1176" spans="2:12" x14ac:dyDescent="0.25">
      <c r="B1176" s="5"/>
      <c r="C1176" s="14" t="s">
        <v>5</v>
      </c>
      <c r="D1176">
        <v>765.27629999999999</v>
      </c>
      <c r="F1176" s="21">
        <v>1314.829</v>
      </c>
      <c r="H1176" s="5"/>
      <c r="I1176" s="14" t="s">
        <v>5</v>
      </c>
      <c r="J1176">
        <v>765.27700000000004</v>
      </c>
      <c r="L1176">
        <v>1325.789</v>
      </c>
    </row>
    <row r="1177" spans="2:12" ht="15.75" thickBot="1" x14ac:dyDescent="0.3">
      <c r="B1177" s="5"/>
      <c r="C1177" s="16" t="s">
        <v>6</v>
      </c>
      <c r="D1177">
        <v>909.18700000000001</v>
      </c>
      <c r="E1177" s="17"/>
      <c r="F1177" s="21">
        <v>1740.1510000000001</v>
      </c>
      <c r="H1177" s="5"/>
      <c r="I1177" s="16" t="s">
        <v>6</v>
      </c>
      <c r="J1177">
        <v>909.18700000000001</v>
      </c>
      <c r="K1177" s="17"/>
      <c r="L1177">
        <v>1752.431</v>
      </c>
    </row>
    <row r="1178" spans="2:12" ht="15.75" thickBot="1" x14ac:dyDescent="0.3">
      <c r="B1178" s="5"/>
      <c r="D1178" s="19">
        <f>SUM(D1175:D1177)</f>
        <v>3005.7712999999999</v>
      </c>
      <c r="F1178" s="19">
        <f>SUM(F1175:F1177)</f>
        <v>7244.1489999999994</v>
      </c>
      <c r="H1178" s="5"/>
      <c r="J1178" s="19">
        <f>SUM(J1175:J1177)</f>
        <v>3005.9539999999997</v>
      </c>
      <c r="L1178" s="19">
        <f>SUM(L1175:L1177)</f>
        <v>7317.5889999999999</v>
      </c>
    </row>
    <row r="1179" spans="2:12" x14ac:dyDescent="0.25">
      <c r="B1179" s="22" t="s">
        <v>8</v>
      </c>
      <c r="C1179" s="23"/>
      <c r="D1179" s="23"/>
      <c r="E1179" s="23"/>
      <c r="F1179" s="7"/>
      <c r="H1179" s="22" t="s">
        <v>8</v>
      </c>
      <c r="I1179" s="23"/>
      <c r="J1179" s="23"/>
      <c r="K1179" s="23"/>
      <c r="L1179" s="7"/>
    </row>
    <row r="1180" spans="2:12" ht="15.75" thickBot="1" x14ac:dyDescent="0.3">
      <c r="B1180" s="24" t="s">
        <v>9</v>
      </c>
      <c r="C1180" s="25"/>
      <c r="D1180" s="25"/>
      <c r="E1180" s="25"/>
      <c r="F1180" s="26"/>
      <c r="H1180" s="24" t="s">
        <v>9</v>
      </c>
      <c r="I1180" s="25"/>
      <c r="J1180" s="25"/>
      <c r="K1180" s="25"/>
      <c r="L1180" s="26"/>
    </row>
    <row r="1181" spans="2:12" x14ac:dyDescent="0.25">
      <c r="C1181" s="27" t="s">
        <v>10</v>
      </c>
      <c r="D1181" s="27"/>
      <c r="E1181" s="27"/>
      <c r="F1181" s="27"/>
      <c r="I1181" s="27" t="s">
        <v>10</v>
      </c>
      <c r="J1181" s="27"/>
      <c r="K1181" s="27"/>
      <c r="L1181" s="27"/>
    </row>
    <row r="1185" spans="2:12" ht="15.75" thickBot="1" x14ac:dyDescent="0.3"/>
    <row r="1186" spans="2:12" x14ac:dyDescent="0.25">
      <c r="B1186" s="1"/>
      <c r="C1186" s="2"/>
      <c r="D1186" s="3">
        <v>45628</v>
      </c>
      <c r="E1186" s="2"/>
      <c r="F1186" s="4"/>
      <c r="H1186" s="1"/>
      <c r="I1186" s="2"/>
      <c r="J1186" s="3">
        <v>45635</v>
      </c>
      <c r="K1186" s="2"/>
      <c r="L1186" s="4"/>
    </row>
    <row r="1187" spans="2:12" x14ac:dyDescent="0.25">
      <c r="B1187" s="5"/>
      <c r="D1187" s="6"/>
      <c r="F1187" s="7"/>
      <c r="H1187" s="5"/>
      <c r="J1187" s="6"/>
      <c r="L1187" s="7"/>
    </row>
    <row r="1188" spans="2:12" x14ac:dyDescent="0.25">
      <c r="B1188" s="5"/>
      <c r="C1188" s="8" t="s">
        <v>0</v>
      </c>
      <c r="D1188" s="9"/>
      <c r="E1188" s="9"/>
      <c r="F1188" s="10"/>
      <c r="H1188" s="5"/>
      <c r="I1188" s="8" t="s">
        <v>0</v>
      </c>
      <c r="J1188" s="9"/>
      <c r="K1188" s="9"/>
      <c r="L1188" s="10"/>
    </row>
    <row r="1189" spans="2:12" x14ac:dyDescent="0.25">
      <c r="B1189" s="5"/>
      <c r="C1189" s="11" t="s">
        <v>1</v>
      </c>
      <c r="D1189" s="12"/>
      <c r="E1189" s="12"/>
      <c r="F1189" s="13"/>
      <c r="H1189" s="5"/>
      <c r="I1189" s="11" t="s">
        <v>1</v>
      </c>
      <c r="J1189" s="12"/>
      <c r="K1189" s="12"/>
      <c r="L1189" s="13"/>
    </row>
    <row r="1190" spans="2:12" x14ac:dyDescent="0.25">
      <c r="B1190" s="5"/>
      <c r="C1190" s="14"/>
      <c r="D1190" t="s">
        <v>2</v>
      </c>
      <c r="F1190" s="7" t="s">
        <v>3</v>
      </c>
      <c r="H1190" s="5"/>
      <c r="I1190" s="14"/>
      <c r="J1190" t="s">
        <v>2</v>
      </c>
      <c r="L1190" s="7" t="s">
        <v>3</v>
      </c>
    </row>
    <row r="1191" spans="2:12" x14ac:dyDescent="0.25">
      <c r="B1191" s="5"/>
      <c r="C1191" s="14" t="s">
        <v>4</v>
      </c>
      <c r="D1191">
        <v>5802.3418000000001</v>
      </c>
      <c r="F1191" s="15">
        <v>5.9839999999999997E-2</v>
      </c>
      <c r="H1191" s="5"/>
      <c r="I1191" s="14" t="s">
        <v>4</v>
      </c>
      <c r="J1191">
        <v>5807.9016000000001</v>
      </c>
      <c r="L1191" s="15">
        <v>6.028E-2</v>
      </c>
    </row>
    <row r="1192" spans="2:12" x14ac:dyDescent="0.25">
      <c r="B1192" s="5"/>
      <c r="C1192" s="14" t="s">
        <v>5</v>
      </c>
      <c r="D1192">
        <v>1328.556</v>
      </c>
      <c r="F1192" s="15">
        <v>0.13564000000000001</v>
      </c>
      <c r="H1192" s="5"/>
      <c r="I1192" s="14" t="s">
        <v>5</v>
      </c>
      <c r="J1192">
        <v>1329.4780000000001</v>
      </c>
      <c r="L1192" s="15">
        <v>0.13588</v>
      </c>
    </row>
    <row r="1193" spans="2:12" ht="15.75" thickBot="1" x14ac:dyDescent="0.3">
      <c r="B1193" s="5"/>
      <c r="C1193" s="16" t="s">
        <v>6</v>
      </c>
      <c r="D1193">
        <v>1402.0641599999999</v>
      </c>
      <c r="E1193" s="17"/>
      <c r="F1193" s="18">
        <v>0.18808</v>
      </c>
      <c r="H1193" s="5"/>
      <c r="I1193" s="16" t="s">
        <v>6</v>
      </c>
      <c r="J1193">
        <v>1403.2867200000001</v>
      </c>
      <c r="K1193" s="17"/>
      <c r="L1193" s="18">
        <v>0.18836</v>
      </c>
    </row>
    <row r="1194" spans="2:12" ht="15.75" thickBot="1" x14ac:dyDescent="0.3">
      <c r="B1194" s="5"/>
      <c r="D1194" s="19"/>
      <c r="F1194" s="19"/>
      <c r="H1194" s="5"/>
      <c r="J1194" s="19"/>
      <c r="L1194" s="19"/>
    </row>
    <row r="1195" spans="2:12" x14ac:dyDescent="0.25">
      <c r="B1195" s="5"/>
      <c r="C1195" s="8" t="s">
        <v>7</v>
      </c>
      <c r="D1195" s="12"/>
      <c r="E1195" s="9"/>
      <c r="F1195" s="10"/>
      <c r="H1195" s="5"/>
      <c r="I1195" s="8" t="s">
        <v>7</v>
      </c>
      <c r="J1195" s="12"/>
      <c r="K1195" s="9"/>
      <c r="L1195" s="10"/>
    </row>
    <row r="1196" spans="2:12" x14ac:dyDescent="0.25">
      <c r="B1196" s="5"/>
      <c r="C1196" s="11" t="s">
        <v>1</v>
      </c>
      <c r="D1196" s="12"/>
      <c r="E1196" s="12"/>
      <c r="F1196" s="13"/>
      <c r="H1196" s="5"/>
      <c r="I1196" s="11" t="s">
        <v>1</v>
      </c>
      <c r="J1196" s="12"/>
      <c r="K1196" s="12"/>
      <c r="L1196" s="13"/>
    </row>
    <row r="1197" spans="2:12" x14ac:dyDescent="0.25">
      <c r="B1197" s="5"/>
      <c r="C1197" s="14"/>
      <c r="D1197" t="s">
        <v>2</v>
      </c>
      <c r="F1197" s="7" t="s">
        <v>3</v>
      </c>
      <c r="H1197" s="5"/>
      <c r="I1197" s="14"/>
      <c r="J1197" t="s">
        <v>2</v>
      </c>
      <c r="L1197" s="7" t="s">
        <v>3</v>
      </c>
    </row>
    <row r="1198" spans="2:12" x14ac:dyDescent="0.25">
      <c r="B1198" s="5"/>
      <c r="C1198" s="14" t="s">
        <v>4</v>
      </c>
      <c r="D1198">
        <v>1331.672</v>
      </c>
      <c r="F1198" s="20">
        <v>4289.5690000000004</v>
      </c>
      <c r="H1198" s="5"/>
      <c r="I1198" s="14" t="s">
        <v>4</v>
      </c>
      <c r="J1198">
        <v>1331.854</v>
      </c>
      <c r="L1198">
        <v>4339.7690000000002</v>
      </c>
    </row>
    <row r="1199" spans="2:12" x14ac:dyDescent="0.25">
      <c r="B1199" s="5"/>
      <c r="C1199" s="14" t="s">
        <v>5</v>
      </c>
      <c r="D1199">
        <v>765.27769999999998</v>
      </c>
      <c r="F1199" s="21">
        <v>1336.749</v>
      </c>
      <c r="H1199" s="5"/>
      <c r="I1199" s="14" t="s">
        <v>5</v>
      </c>
      <c r="J1199">
        <v>765.27840000000003</v>
      </c>
      <c r="L1199">
        <v>1347.7090000000001</v>
      </c>
    </row>
    <row r="1200" spans="2:12" ht="15.75" thickBot="1" x14ac:dyDescent="0.3">
      <c r="B1200" s="5"/>
      <c r="C1200" s="16" t="s">
        <v>6</v>
      </c>
      <c r="D1200">
        <v>909.18700000000001</v>
      </c>
      <c r="E1200" s="17"/>
      <c r="F1200" s="21">
        <v>1764.711</v>
      </c>
      <c r="H1200" s="5"/>
      <c r="I1200" s="16" t="s">
        <v>6</v>
      </c>
      <c r="J1200">
        <v>909.18700000000001</v>
      </c>
      <c r="K1200" s="17"/>
      <c r="L1200">
        <v>1776.991</v>
      </c>
    </row>
    <row r="1201" spans="2:12" ht="15.75" thickBot="1" x14ac:dyDescent="0.3">
      <c r="B1201" s="5"/>
      <c r="D1201" s="19"/>
      <c r="F1201" s="19">
        <f>SUM(F1198:F1200)</f>
        <v>7391.0290000000005</v>
      </c>
      <c r="H1201" s="5"/>
      <c r="J1201" s="19"/>
      <c r="L1201" s="19">
        <f>SUM(L1198:L1200)</f>
        <v>7464.4690000000001</v>
      </c>
    </row>
    <row r="1202" spans="2:12" x14ac:dyDescent="0.25">
      <c r="B1202" s="22" t="s">
        <v>8</v>
      </c>
      <c r="C1202" s="23"/>
      <c r="D1202" s="23"/>
      <c r="E1202" s="23"/>
      <c r="F1202" s="7"/>
      <c r="H1202" s="22" t="s">
        <v>8</v>
      </c>
      <c r="I1202" s="23"/>
      <c r="J1202" s="23"/>
      <c r="K1202" s="23"/>
      <c r="L1202" s="7"/>
    </row>
    <row r="1203" spans="2:12" ht="15.75" thickBot="1" x14ac:dyDescent="0.3">
      <c r="B1203" s="24" t="s">
        <v>9</v>
      </c>
      <c r="C1203" s="25"/>
      <c r="D1203" s="25"/>
      <c r="E1203" s="25"/>
      <c r="F1203" s="26"/>
      <c r="H1203" s="24" t="s">
        <v>9</v>
      </c>
      <c r="I1203" s="25"/>
      <c r="J1203" s="25"/>
      <c r="K1203" s="25"/>
      <c r="L1203" s="26"/>
    </row>
    <row r="1204" spans="2:12" x14ac:dyDescent="0.25">
      <c r="C1204" s="27" t="s">
        <v>10</v>
      </c>
      <c r="D1204" s="27"/>
      <c r="E1204" s="27"/>
      <c r="F1204" s="27"/>
      <c r="I1204" s="27" t="s">
        <v>10</v>
      </c>
      <c r="J1204" s="27"/>
      <c r="K1204" s="27"/>
      <c r="L1204" s="27"/>
    </row>
    <row r="1208" spans="2:12" ht="15.75" thickBot="1" x14ac:dyDescent="0.3"/>
    <row r="1209" spans="2:12" x14ac:dyDescent="0.25">
      <c r="B1209" s="1"/>
      <c r="C1209" s="2"/>
      <c r="D1209" s="3">
        <v>45642</v>
      </c>
      <c r="E1209" s="2"/>
      <c r="F1209" s="4"/>
      <c r="H1209" s="1"/>
      <c r="I1209" s="2"/>
      <c r="J1209" s="3">
        <v>45649</v>
      </c>
      <c r="K1209" s="2"/>
      <c r="L1209" s="4"/>
    </row>
    <row r="1210" spans="2:12" x14ac:dyDescent="0.25">
      <c r="B1210" s="5"/>
      <c r="D1210" s="6"/>
      <c r="F1210" s="7"/>
      <c r="H1210" s="5"/>
      <c r="J1210" s="6"/>
      <c r="L1210" s="7"/>
    </row>
    <row r="1211" spans="2:12" x14ac:dyDescent="0.25">
      <c r="B1211" s="5"/>
      <c r="C1211" s="8" t="s">
        <v>0</v>
      </c>
      <c r="D1211" s="9"/>
      <c r="E1211" s="9"/>
      <c r="F1211" s="10"/>
      <c r="H1211" s="5"/>
      <c r="I1211" s="8" t="s">
        <v>0</v>
      </c>
      <c r="J1211" s="9"/>
      <c r="K1211" s="9"/>
      <c r="L1211" s="10"/>
    </row>
    <row r="1212" spans="2:12" x14ac:dyDescent="0.25">
      <c r="B1212" s="5"/>
      <c r="C1212" s="11" t="s">
        <v>1</v>
      </c>
      <c r="D1212" s="12"/>
      <c r="E1212" s="12"/>
      <c r="F1212" s="13"/>
      <c r="H1212" s="5"/>
      <c r="I1212" s="11" t="s">
        <v>1</v>
      </c>
      <c r="J1212" s="12"/>
      <c r="K1212" s="12"/>
      <c r="L1212" s="13"/>
    </row>
    <row r="1213" spans="2:12" x14ac:dyDescent="0.25">
      <c r="B1213" s="5"/>
      <c r="C1213" s="14"/>
      <c r="D1213" t="s">
        <v>2</v>
      </c>
      <c r="F1213" s="7" t="s">
        <v>3</v>
      </c>
      <c r="H1213" s="5"/>
      <c r="I1213" s="14"/>
      <c r="J1213" t="s">
        <v>2</v>
      </c>
      <c r="L1213" s="7" t="s">
        <v>3</v>
      </c>
    </row>
    <row r="1214" spans="2:12" x14ac:dyDescent="0.25">
      <c r="B1214" s="5"/>
      <c r="C1214" s="14" t="s">
        <v>4</v>
      </c>
      <c r="D1214">
        <v>5813.4614000000001</v>
      </c>
      <c r="F1214" s="15">
        <v>6.0720000000000003E-2</v>
      </c>
      <c r="H1214" s="5"/>
      <c r="I1214" s="14" t="s">
        <v>4</v>
      </c>
      <c r="J1214">
        <v>5819.0212000000001</v>
      </c>
      <c r="L1214" s="15">
        <v>6.1159999999999999E-2</v>
      </c>
    </row>
    <row r="1215" spans="2:12" x14ac:dyDescent="0.25">
      <c r="B1215" s="5"/>
      <c r="C1215" s="14" t="s">
        <v>5</v>
      </c>
      <c r="D1215">
        <v>1330.4</v>
      </c>
      <c r="F1215" s="15">
        <v>0.13611999999999999</v>
      </c>
      <c r="H1215" s="5"/>
      <c r="I1215" s="14" t="s">
        <v>5</v>
      </c>
      <c r="J1215">
        <v>1331.3219999999999</v>
      </c>
      <c r="L1215" s="15">
        <v>0.13636000000000001</v>
      </c>
    </row>
    <row r="1216" spans="2:12" ht="15.75" thickBot="1" x14ac:dyDescent="0.3">
      <c r="B1216" s="5"/>
      <c r="C1216" s="16" t="s">
        <v>6</v>
      </c>
      <c r="D1216">
        <v>1404.50928</v>
      </c>
      <c r="E1216" s="17"/>
      <c r="F1216" s="18">
        <v>0.18864</v>
      </c>
      <c r="H1216" s="5"/>
      <c r="I1216" s="16" t="s">
        <v>6</v>
      </c>
      <c r="J1216">
        <v>1405.7318399999999</v>
      </c>
      <c r="K1216" s="17"/>
      <c r="L1216" s="18">
        <v>0.18892</v>
      </c>
    </row>
    <row r="1217" spans="2:12" ht="15.75" thickBot="1" x14ac:dyDescent="0.3">
      <c r="B1217" s="5"/>
      <c r="D1217" s="19"/>
      <c r="F1217" s="19"/>
      <c r="H1217" s="5"/>
      <c r="J1217" s="19"/>
      <c r="L1217" s="19"/>
    </row>
    <row r="1218" spans="2:12" x14ac:dyDescent="0.25">
      <c r="B1218" s="5"/>
      <c r="C1218" s="8" t="s">
        <v>7</v>
      </c>
      <c r="D1218" s="12"/>
      <c r="E1218" s="9"/>
      <c r="F1218" s="10"/>
      <c r="H1218" s="5"/>
      <c r="I1218" s="8" t="s">
        <v>7</v>
      </c>
      <c r="J1218" s="12"/>
      <c r="K1218" s="9"/>
      <c r="L1218" s="10"/>
    </row>
    <row r="1219" spans="2:12" x14ac:dyDescent="0.25">
      <c r="B1219" s="5"/>
      <c r="C1219" s="11" t="s">
        <v>1</v>
      </c>
      <c r="D1219" s="12"/>
      <c r="E1219" s="12"/>
      <c r="F1219" s="13"/>
      <c r="H1219" s="5"/>
      <c r="I1219" s="11" t="s">
        <v>1</v>
      </c>
      <c r="J1219" s="12"/>
      <c r="K1219" s="12"/>
      <c r="L1219" s="13"/>
    </row>
    <row r="1220" spans="2:12" x14ac:dyDescent="0.25">
      <c r="B1220" s="5"/>
      <c r="C1220" s="14"/>
      <c r="D1220" t="s">
        <v>2</v>
      </c>
      <c r="F1220" s="7" t="s">
        <v>3</v>
      </c>
      <c r="H1220" s="5"/>
      <c r="I1220" s="14"/>
      <c r="J1220" t="s">
        <v>2</v>
      </c>
      <c r="L1220" s="7" t="s">
        <v>3</v>
      </c>
    </row>
    <row r="1221" spans="2:12" x14ac:dyDescent="0.25">
      <c r="B1221" s="5"/>
      <c r="C1221" s="14" t="s">
        <v>4</v>
      </c>
      <c r="D1221">
        <v>1332.0360000000001</v>
      </c>
      <c r="F1221" s="20">
        <v>4389.9690000000001</v>
      </c>
      <c r="H1221" s="5"/>
      <c r="I1221" s="14" t="s">
        <v>4</v>
      </c>
      <c r="J1221">
        <v>1332.2180000000001</v>
      </c>
      <c r="L1221">
        <v>4440.1689999999999</v>
      </c>
    </row>
    <row r="1222" spans="2:12" x14ac:dyDescent="0.25">
      <c r="B1222" s="5"/>
      <c r="C1222" s="14" t="s">
        <v>5</v>
      </c>
      <c r="D1222">
        <v>765.27909999999997</v>
      </c>
      <c r="F1222" s="21">
        <v>1358.6690000000001</v>
      </c>
      <c r="H1222" s="5"/>
      <c r="I1222" s="14" t="s">
        <v>5</v>
      </c>
      <c r="J1222">
        <v>765.27980000000002</v>
      </c>
      <c r="L1222">
        <v>1369.6289999999999</v>
      </c>
    </row>
    <row r="1223" spans="2:12" ht="15.75" thickBot="1" x14ac:dyDescent="0.3">
      <c r="B1223" s="5"/>
      <c r="C1223" s="16" t="s">
        <v>6</v>
      </c>
      <c r="D1223">
        <v>909.18700000000001</v>
      </c>
      <c r="E1223" s="17"/>
      <c r="F1223" s="21">
        <v>1789.271</v>
      </c>
      <c r="H1223" s="5"/>
      <c r="I1223" s="16" t="s">
        <v>6</v>
      </c>
      <c r="J1223">
        <v>909.18700000000001</v>
      </c>
      <c r="K1223" s="17"/>
      <c r="L1223">
        <v>1801.5509999999999</v>
      </c>
    </row>
    <row r="1224" spans="2:12" ht="15.75" thickBot="1" x14ac:dyDescent="0.3">
      <c r="B1224" s="5"/>
      <c r="D1224" s="19"/>
      <c r="F1224" s="19">
        <f>SUM(F1221:F1223)</f>
        <v>7537.9089999999997</v>
      </c>
      <c r="H1224" s="5"/>
      <c r="J1224" s="19"/>
      <c r="L1224" s="19">
        <f>SUM(L1221:L1223)</f>
        <v>7611.3490000000002</v>
      </c>
    </row>
    <row r="1225" spans="2:12" x14ac:dyDescent="0.25">
      <c r="B1225" s="22" t="s">
        <v>8</v>
      </c>
      <c r="C1225" s="23"/>
      <c r="D1225" s="23"/>
      <c r="E1225" s="23"/>
      <c r="F1225" s="7"/>
      <c r="H1225" s="22" t="s">
        <v>8</v>
      </c>
      <c r="I1225" s="23"/>
      <c r="J1225" s="23"/>
      <c r="K1225" s="23"/>
      <c r="L1225" s="7"/>
    </row>
    <row r="1226" spans="2:12" ht="15.75" thickBot="1" x14ac:dyDescent="0.3">
      <c r="B1226" s="24" t="s">
        <v>9</v>
      </c>
      <c r="C1226" s="25"/>
      <c r="D1226" s="25"/>
      <c r="E1226" s="25"/>
      <c r="F1226" s="26"/>
      <c r="H1226" s="24" t="s">
        <v>9</v>
      </c>
      <c r="I1226" s="25"/>
      <c r="J1226" s="25"/>
      <c r="K1226" s="25"/>
      <c r="L1226" s="26"/>
    </row>
    <row r="1227" spans="2:12" x14ac:dyDescent="0.25">
      <c r="C1227" s="27" t="s">
        <v>10</v>
      </c>
      <c r="D1227" s="27"/>
      <c r="E1227" s="27"/>
      <c r="F1227" s="27"/>
      <c r="I1227" s="27" t="s">
        <v>10</v>
      </c>
      <c r="J1227" s="27"/>
      <c r="K1227" s="27"/>
      <c r="L1227" s="27"/>
    </row>
    <row r="1231" spans="2:12" ht="15.75" thickBot="1" x14ac:dyDescent="0.3"/>
    <row r="1232" spans="2:12" x14ac:dyDescent="0.25">
      <c r="B1232" s="1"/>
      <c r="C1232" s="2"/>
      <c r="D1232" s="3">
        <v>45656</v>
      </c>
      <c r="E1232" s="2"/>
      <c r="F1232" s="4"/>
      <c r="H1232" s="1"/>
      <c r="I1232" s="2"/>
      <c r="J1232" s="3">
        <v>45663</v>
      </c>
      <c r="K1232" s="2"/>
      <c r="L1232" s="4"/>
    </row>
    <row r="1233" spans="2:12" x14ac:dyDescent="0.25">
      <c r="B1233" s="5"/>
      <c r="D1233" s="6"/>
      <c r="F1233" s="7"/>
      <c r="H1233" s="5"/>
      <c r="J1233" s="6"/>
      <c r="L1233" s="7"/>
    </row>
    <row r="1234" spans="2:12" x14ac:dyDescent="0.25">
      <c r="B1234" s="5"/>
      <c r="C1234" s="8" t="s">
        <v>0</v>
      </c>
      <c r="D1234" s="9"/>
      <c r="E1234" s="9"/>
      <c r="F1234" s="10"/>
      <c r="H1234" s="5"/>
      <c r="I1234" s="8" t="s">
        <v>0</v>
      </c>
      <c r="J1234" s="9"/>
      <c r="K1234" s="9"/>
      <c r="L1234" s="10"/>
    </row>
    <row r="1235" spans="2:12" x14ac:dyDescent="0.25">
      <c r="B1235" s="5"/>
      <c r="C1235" s="11" t="s">
        <v>1</v>
      </c>
      <c r="D1235" s="12"/>
      <c r="E1235" s="12"/>
      <c r="F1235" s="13"/>
      <c r="H1235" s="5"/>
      <c r="I1235" s="11" t="s">
        <v>1</v>
      </c>
      <c r="J1235" s="12"/>
      <c r="K1235" s="12"/>
      <c r="L1235" s="13"/>
    </row>
    <row r="1236" spans="2:12" x14ac:dyDescent="0.25">
      <c r="B1236" s="5"/>
      <c r="C1236" s="14"/>
      <c r="D1236" t="s">
        <v>2</v>
      </c>
      <c r="F1236" s="7" t="s">
        <v>3</v>
      </c>
      <c r="H1236" s="5"/>
      <c r="I1236" s="14"/>
      <c r="J1236" t="s">
        <v>2</v>
      </c>
      <c r="L1236" s="7" t="s">
        <v>3</v>
      </c>
    </row>
    <row r="1237" spans="2:12" x14ac:dyDescent="0.25">
      <c r="B1237" s="5"/>
      <c r="C1237" s="14" t="s">
        <v>4</v>
      </c>
      <c r="D1237">
        <v>5824.5810000000001</v>
      </c>
      <c r="F1237" s="15">
        <v>6.1600000000000002E-2</v>
      </c>
      <c r="H1237" s="5"/>
      <c r="I1237" s="14" t="s">
        <v>4</v>
      </c>
      <c r="J1237">
        <v>5830.1408000000001</v>
      </c>
      <c r="L1237" s="15">
        <v>6.2039999999999998E-2</v>
      </c>
    </row>
    <row r="1238" spans="2:12" x14ac:dyDescent="0.25">
      <c r="B1238" s="5"/>
      <c r="C1238" s="14" t="s">
        <v>5</v>
      </c>
      <c r="D1238">
        <v>1332.2439999999999</v>
      </c>
      <c r="F1238" s="15">
        <v>0.1366</v>
      </c>
      <c r="H1238" s="5"/>
      <c r="I1238" s="14" t="s">
        <v>5</v>
      </c>
      <c r="J1238">
        <v>1333.1659999999999</v>
      </c>
      <c r="L1238" s="15">
        <v>13684</v>
      </c>
    </row>
    <row r="1239" spans="2:12" ht="15.75" thickBot="1" x14ac:dyDescent="0.3">
      <c r="B1239" s="5"/>
      <c r="C1239" s="16" t="s">
        <v>6</v>
      </c>
      <c r="D1239">
        <v>1406.9544000000001</v>
      </c>
      <c r="E1239" s="17"/>
      <c r="F1239" s="18">
        <v>0.18920000000000001</v>
      </c>
      <c r="H1239" s="5"/>
      <c r="I1239" s="16" t="s">
        <v>6</v>
      </c>
      <c r="J1239">
        <v>1408.17696</v>
      </c>
      <c r="K1239" s="17"/>
      <c r="L1239" s="18">
        <v>0.18948000000000001</v>
      </c>
    </row>
    <row r="1240" spans="2:12" ht="15.75" thickBot="1" x14ac:dyDescent="0.3">
      <c r="B1240" s="5"/>
      <c r="D1240" s="19"/>
      <c r="F1240" s="19"/>
      <c r="H1240" s="5"/>
      <c r="J1240" s="19"/>
      <c r="L1240" s="19"/>
    </row>
    <row r="1241" spans="2:12" x14ac:dyDescent="0.25">
      <c r="B1241" s="5"/>
      <c r="C1241" s="8" t="s">
        <v>7</v>
      </c>
      <c r="D1241" s="12"/>
      <c r="E1241" s="9"/>
      <c r="F1241" s="10"/>
      <c r="H1241" s="5"/>
      <c r="I1241" s="8" t="s">
        <v>7</v>
      </c>
      <c r="J1241" s="12"/>
      <c r="K1241" s="9"/>
      <c r="L1241" s="10"/>
    </row>
    <row r="1242" spans="2:12" x14ac:dyDescent="0.25">
      <c r="B1242" s="5"/>
      <c r="C1242" s="11" t="s">
        <v>1</v>
      </c>
      <c r="D1242" s="12"/>
      <c r="E1242" s="12"/>
      <c r="F1242" s="13"/>
      <c r="H1242" s="5"/>
      <c r="I1242" s="11" t="s">
        <v>1</v>
      </c>
      <c r="J1242" s="12"/>
      <c r="K1242" s="12"/>
      <c r="L1242" s="13"/>
    </row>
    <row r="1243" spans="2:12" x14ac:dyDescent="0.25">
      <c r="B1243" s="5"/>
      <c r="C1243" s="14"/>
      <c r="D1243" t="s">
        <v>2</v>
      </c>
      <c r="F1243" s="7" t="s">
        <v>3</v>
      </c>
      <c r="H1243" s="5"/>
      <c r="I1243" s="14"/>
      <c r="J1243" t="s">
        <v>2</v>
      </c>
      <c r="L1243" s="7" t="s">
        <v>3</v>
      </c>
    </row>
    <row r="1244" spans="2:12" x14ac:dyDescent="0.25">
      <c r="B1244" s="5"/>
      <c r="C1244" s="14" t="s">
        <v>4</v>
      </c>
      <c r="D1244">
        <v>1332.4</v>
      </c>
      <c r="F1244" s="20">
        <v>4490.3689999999997</v>
      </c>
      <c r="H1244" s="5"/>
      <c r="I1244" s="14" t="s">
        <v>4</v>
      </c>
      <c r="J1244">
        <v>1332.5820000000001</v>
      </c>
      <c r="L1244">
        <v>4540.5690000000004</v>
      </c>
    </row>
    <row r="1245" spans="2:12" x14ac:dyDescent="0.25">
      <c r="B1245" s="5"/>
      <c r="C1245" s="14" t="s">
        <v>5</v>
      </c>
      <c r="D1245">
        <v>765.28049999999996</v>
      </c>
      <c r="F1245" s="21">
        <v>1380.5889999999999</v>
      </c>
      <c r="H1245" s="5"/>
      <c r="I1245" s="14" t="s">
        <v>5</v>
      </c>
      <c r="J1245">
        <v>765.28120000000001</v>
      </c>
      <c r="L1245">
        <v>1391.549</v>
      </c>
    </row>
    <row r="1246" spans="2:12" ht="15.75" thickBot="1" x14ac:dyDescent="0.3">
      <c r="B1246" s="5"/>
      <c r="C1246" s="16" t="s">
        <v>6</v>
      </c>
      <c r="D1246">
        <v>909.18700000000001</v>
      </c>
      <c r="E1246" s="17"/>
      <c r="F1246" s="21">
        <v>1813.8309999999999</v>
      </c>
      <c r="H1246" s="5"/>
      <c r="I1246" s="16" t="s">
        <v>6</v>
      </c>
      <c r="J1246">
        <v>909.18700000000001</v>
      </c>
      <c r="K1246" s="17"/>
      <c r="L1246">
        <v>1826.1110000000001</v>
      </c>
    </row>
    <row r="1247" spans="2:12" ht="15.75" thickBot="1" x14ac:dyDescent="0.3">
      <c r="B1247" s="5"/>
      <c r="D1247" s="19">
        <f>SUM(D1244:D1246)</f>
        <v>3006.8674999999998</v>
      </c>
      <c r="F1247" s="19">
        <f>SUM(F1244:F1246)</f>
        <v>7684.7889999999998</v>
      </c>
      <c r="H1247" s="5"/>
      <c r="J1247" s="19"/>
      <c r="L1247" s="19"/>
    </row>
    <row r="1248" spans="2:12" x14ac:dyDescent="0.25">
      <c r="B1248" s="22" t="s">
        <v>8</v>
      </c>
      <c r="C1248" s="23"/>
      <c r="D1248" s="23"/>
      <c r="E1248" s="23"/>
      <c r="F1248" s="7"/>
      <c r="H1248" s="22" t="s">
        <v>8</v>
      </c>
      <c r="I1248" s="23"/>
      <c r="J1248" s="23"/>
      <c r="K1248" s="23"/>
      <c r="L1248" s="7"/>
    </row>
    <row r="1249" spans="2:12" ht="15.75" thickBot="1" x14ac:dyDescent="0.3">
      <c r="B1249" s="24" t="s">
        <v>9</v>
      </c>
      <c r="C1249" s="25"/>
      <c r="D1249" s="25"/>
      <c r="E1249" s="25"/>
      <c r="F1249" s="26"/>
      <c r="H1249" s="24" t="s">
        <v>9</v>
      </c>
      <c r="I1249" s="25"/>
      <c r="J1249" s="25"/>
      <c r="K1249" s="25"/>
      <c r="L1249" s="26"/>
    </row>
    <row r="1250" spans="2:12" x14ac:dyDescent="0.25">
      <c r="C1250" s="27" t="s">
        <v>10</v>
      </c>
      <c r="D1250" s="27"/>
      <c r="E1250" s="27"/>
      <c r="F1250" s="27"/>
      <c r="I1250" s="27" t="s">
        <v>10</v>
      </c>
      <c r="J1250" s="27"/>
      <c r="K1250" s="27"/>
      <c r="L1250" s="27"/>
    </row>
    <row r="1254" spans="2:12" ht="15.75" thickBot="1" x14ac:dyDescent="0.3"/>
    <row r="1255" spans="2:12" x14ac:dyDescent="0.25">
      <c r="B1255" s="1"/>
      <c r="C1255" s="2"/>
      <c r="D1255" s="3">
        <v>45670</v>
      </c>
      <c r="E1255" s="2"/>
      <c r="F1255" s="4"/>
      <c r="H1255" s="1"/>
      <c r="I1255" s="2"/>
      <c r="J1255" s="3">
        <v>45677</v>
      </c>
      <c r="K1255" s="2"/>
      <c r="L1255" s="4"/>
    </row>
    <row r="1256" spans="2:12" x14ac:dyDescent="0.25">
      <c r="B1256" s="5"/>
      <c r="D1256" s="6"/>
      <c r="F1256" s="7"/>
      <c r="H1256" s="5"/>
      <c r="J1256" s="6"/>
      <c r="L1256" s="7"/>
    </row>
    <row r="1257" spans="2:12" x14ac:dyDescent="0.25">
      <c r="B1257" s="5"/>
      <c r="C1257" s="8" t="s">
        <v>0</v>
      </c>
      <c r="D1257" s="9"/>
      <c r="E1257" s="9"/>
      <c r="F1257" s="10"/>
      <c r="H1257" s="5"/>
      <c r="I1257" s="8" t="s">
        <v>0</v>
      </c>
      <c r="J1257" s="9"/>
      <c r="K1257" s="9"/>
      <c r="L1257" s="10"/>
    </row>
    <row r="1258" spans="2:12" x14ac:dyDescent="0.25">
      <c r="B1258" s="5"/>
      <c r="C1258" s="11" t="s">
        <v>1</v>
      </c>
      <c r="D1258" s="12"/>
      <c r="E1258" s="12"/>
      <c r="F1258" s="13"/>
      <c r="H1258" s="5"/>
      <c r="I1258" s="11" t="s">
        <v>1</v>
      </c>
      <c r="J1258" s="12"/>
      <c r="K1258" s="12"/>
      <c r="L1258" s="13"/>
    </row>
    <row r="1259" spans="2:12" x14ac:dyDescent="0.25">
      <c r="B1259" s="5"/>
      <c r="C1259" s="14"/>
      <c r="D1259" t="s">
        <v>2</v>
      </c>
      <c r="F1259" s="7" t="s">
        <v>3</v>
      </c>
      <c r="H1259" s="5"/>
      <c r="I1259" s="14"/>
      <c r="J1259" t="s">
        <v>2</v>
      </c>
      <c r="L1259" s="7" t="s">
        <v>3</v>
      </c>
    </row>
    <row r="1260" spans="2:12" x14ac:dyDescent="0.25">
      <c r="B1260" s="5"/>
      <c r="C1260" s="14" t="s">
        <v>4</v>
      </c>
      <c r="D1260">
        <v>5835.7006000000001</v>
      </c>
      <c r="F1260" s="15">
        <v>6.2480000000000001E-2</v>
      </c>
      <c r="H1260" s="5"/>
      <c r="I1260" s="14" t="s">
        <v>4</v>
      </c>
      <c r="J1260">
        <v>5841.2604000000001</v>
      </c>
      <c r="L1260" s="15">
        <v>6.2920000000000004E-2</v>
      </c>
    </row>
    <row r="1261" spans="2:12" x14ac:dyDescent="0.25">
      <c r="B1261" s="5"/>
      <c r="C1261" s="14" t="s">
        <v>5</v>
      </c>
      <c r="D1261">
        <v>1334.088</v>
      </c>
      <c r="F1261" s="15">
        <v>0.13708000000000001</v>
      </c>
      <c r="H1261" s="5"/>
      <c r="I1261" s="14" t="s">
        <v>5</v>
      </c>
      <c r="J1261">
        <v>1335.01</v>
      </c>
      <c r="L1261" s="15">
        <v>0.13732</v>
      </c>
    </row>
    <row r="1262" spans="2:12" ht="15.75" thickBot="1" x14ac:dyDescent="0.3">
      <c r="B1262" s="5"/>
      <c r="C1262" s="16" t="s">
        <v>6</v>
      </c>
      <c r="D1262">
        <v>1409.3995199999999</v>
      </c>
      <c r="E1262" s="17"/>
      <c r="F1262" s="18">
        <v>0.18976000000000001</v>
      </c>
      <c r="H1262" s="5"/>
      <c r="I1262" s="16" t="s">
        <v>6</v>
      </c>
      <c r="J1262">
        <v>1410.6220800000001</v>
      </c>
      <c r="K1262" s="17"/>
      <c r="L1262" s="18">
        <v>0.19003999999999999</v>
      </c>
    </row>
    <row r="1263" spans="2:12" ht="15.75" thickBot="1" x14ac:dyDescent="0.3">
      <c r="B1263" s="5"/>
      <c r="D1263" s="19"/>
      <c r="F1263" s="19"/>
      <c r="H1263" s="5"/>
      <c r="J1263" s="19"/>
      <c r="L1263" s="19"/>
    </row>
    <row r="1264" spans="2:12" x14ac:dyDescent="0.25">
      <c r="B1264" s="5"/>
      <c r="C1264" s="8" t="s">
        <v>7</v>
      </c>
      <c r="D1264" s="12"/>
      <c r="E1264" s="9"/>
      <c r="F1264" s="10"/>
      <c r="H1264" s="5"/>
      <c r="I1264" s="8" t="s">
        <v>7</v>
      </c>
      <c r="J1264" s="12"/>
      <c r="K1264" s="9"/>
      <c r="L1264" s="10"/>
    </row>
    <row r="1265" spans="2:12" x14ac:dyDescent="0.25">
      <c r="B1265" s="5"/>
      <c r="C1265" s="11" t="s">
        <v>1</v>
      </c>
      <c r="D1265" s="12"/>
      <c r="E1265" s="12"/>
      <c r="F1265" s="13"/>
      <c r="H1265" s="5"/>
      <c r="I1265" s="11" t="s">
        <v>1</v>
      </c>
      <c r="J1265" s="12"/>
      <c r="K1265" s="12"/>
      <c r="L1265" s="13"/>
    </row>
    <row r="1266" spans="2:12" x14ac:dyDescent="0.25">
      <c r="B1266" s="5"/>
      <c r="C1266" s="14"/>
      <c r="D1266" t="s">
        <v>2</v>
      </c>
      <c r="F1266" s="7" t="s">
        <v>3</v>
      </c>
      <c r="H1266" s="5"/>
      <c r="I1266" s="14"/>
      <c r="J1266" t="s">
        <v>2</v>
      </c>
      <c r="L1266" s="7" t="s">
        <v>3</v>
      </c>
    </row>
    <row r="1267" spans="2:12" x14ac:dyDescent="0.25">
      <c r="B1267" s="5"/>
      <c r="C1267" s="14" t="s">
        <v>4</v>
      </c>
      <c r="D1267">
        <v>1332.9390000000001</v>
      </c>
      <c r="F1267" s="20">
        <v>4640.9650000000001</v>
      </c>
      <c r="H1267" s="5"/>
      <c r="I1267" s="14" t="s">
        <v>4</v>
      </c>
      <c r="J1267">
        <v>1334.461</v>
      </c>
      <c r="L1267">
        <v>4690.3130000000001</v>
      </c>
    </row>
    <row r="1268" spans="2:12" x14ac:dyDescent="0.25">
      <c r="B1268" s="5"/>
      <c r="C1268" s="14" t="s">
        <v>5</v>
      </c>
      <c r="D1268">
        <v>765.28300000000002</v>
      </c>
      <c r="F1268" s="21">
        <v>1413.453</v>
      </c>
      <c r="H1268" s="5"/>
      <c r="I1268" s="14" t="s">
        <v>5</v>
      </c>
      <c r="J1268">
        <v>767.17737499999998</v>
      </c>
      <c r="L1268">
        <v>1424.3164999999999</v>
      </c>
    </row>
    <row r="1269" spans="2:12" ht="15.75" thickBot="1" x14ac:dyDescent="0.3">
      <c r="B1269" s="5"/>
      <c r="C1269" s="16" t="s">
        <v>6</v>
      </c>
      <c r="D1269">
        <v>909.18700000000001</v>
      </c>
      <c r="E1269" s="17"/>
      <c r="F1269" s="21">
        <v>1849.5350000000001</v>
      </c>
      <c r="H1269" s="5"/>
      <c r="I1269" s="16" t="s">
        <v>6</v>
      </c>
      <c r="J1269">
        <v>912.29212500000006</v>
      </c>
      <c r="K1269" s="17"/>
      <c r="L1269">
        <v>1861.4682499999999</v>
      </c>
    </row>
    <row r="1270" spans="2:12" ht="15.75" thickBot="1" x14ac:dyDescent="0.3">
      <c r="B1270" s="5"/>
      <c r="D1270" s="19"/>
      <c r="F1270" s="19"/>
      <c r="H1270" s="5"/>
      <c r="J1270" s="19"/>
      <c r="L1270" s="19"/>
    </row>
    <row r="1271" spans="2:12" x14ac:dyDescent="0.25">
      <c r="B1271" s="22" t="s">
        <v>8</v>
      </c>
      <c r="C1271" s="23"/>
      <c r="D1271" s="23"/>
      <c r="E1271" s="23"/>
      <c r="F1271" s="7"/>
      <c r="H1271" s="22" t="s">
        <v>8</v>
      </c>
      <c r="I1271" s="23"/>
      <c r="J1271" s="23"/>
      <c r="K1271" s="23"/>
      <c r="L1271" s="7"/>
    </row>
    <row r="1272" spans="2:12" ht="15.75" thickBot="1" x14ac:dyDescent="0.3">
      <c r="B1272" s="24" t="s">
        <v>9</v>
      </c>
      <c r="C1272" s="25"/>
      <c r="D1272" s="25"/>
      <c r="E1272" s="25"/>
      <c r="F1272" s="26"/>
      <c r="H1272" s="24" t="s">
        <v>9</v>
      </c>
      <c r="I1272" s="25"/>
      <c r="J1272" s="25"/>
      <c r="K1272" s="25"/>
      <c r="L1272" s="26"/>
    </row>
    <row r="1273" spans="2:12" x14ac:dyDescent="0.25">
      <c r="C1273" s="27" t="s">
        <v>10</v>
      </c>
      <c r="D1273" s="27"/>
      <c r="E1273" s="27"/>
      <c r="F1273" s="27"/>
      <c r="I1273" s="27" t="s">
        <v>10</v>
      </c>
      <c r="J1273" s="27"/>
      <c r="K1273" s="27"/>
      <c r="L1273" s="27"/>
    </row>
    <row r="1275" spans="2:12" ht="15.75" thickBot="1" x14ac:dyDescent="0.3"/>
    <row r="1276" spans="2:12" x14ac:dyDescent="0.25">
      <c r="B1276" s="1"/>
      <c r="C1276" s="2"/>
      <c r="D1276" s="3">
        <v>45684</v>
      </c>
      <c r="E1276" s="2"/>
      <c r="F1276" s="4"/>
      <c r="H1276" s="1"/>
      <c r="I1276" s="2"/>
      <c r="J1276" s="3">
        <v>45691</v>
      </c>
      <c r="K1276" s="2"/>
      <c r="L1276" s="4"/>
    </row>
    <row r="1277" spans="2:12" x14ac:dyDescent="0.25">
      <c r="B1277" s="5"/>
      <c r="D1277" s="6"/>
      <c r="F1277" s="7"/>
      <c r="H1277" s="5"/>
      <c r="J1277" s="6"/>
      <c r="L1277" s="7"/>
    </row>
    <row r="1278" spans="2:12" x14ac:dyDescent="0.25">
      <c r="B1278" s="5"/>
      <c r="C1278" s="8" t="s">
        <v>0</v>
      </c>
      <c r="D1278" s="9"/>
      <c r="E1278" s="9"/>
      <c r="F1278" s="10"/>
      <c r="H1278" s="5"/>
      <c r="I1278" s="8" t="s">
        <v>0</v>
      </c>
      <c r="J1278" s="9"/>
      <c r="K1278" s="9"/>
      <c r="L1278" s="10"/>
    </row>
    <row r="1279" spans="2:12" x14ac:dyDescent="0.25">
      <c r="B1279" s="5"/>
      <c r="C1279" s="11" t="s">
        <v>1</v>
      </c>
      <c r="D1279" s="12"/>
      <c r="E1279" s="12"/>
      <c r="F1279" s="13"/>
      <c r="H1279" s="5"/>
      <c r="I1279" s="11" t="s">
        <v>1</v>
      </c>
      <c r="J1279" s="12"/>
      <c r="K1279" s="12"/>
      <c r="L1279" s="13"/>
    </row>
    <row r="1280" spans="2:12" x14ac:dyDescent="0.25">
      <c r="B1280" s="5"/>
      <c r="C1280" s="14"/>
      <c r="D1280" t="s">
        <v>2</v>
      </c>
      <c r="F1280" s="7" t="s">
        <v>3</v>
      </c>
      <c r="H1280" s="5"/>
      <c r="I1280" s="14"/>
      <c r="J1280" t="s">
        <v>2</v>
      </c>
      <c r="L1280" s="7" t="s">
        <v>3</v>
      </c>
    </row>
    <row r="1281" spans="2:12" x14ac:dyDescent="0.25">
      <c r="B1281" s="5"/>
      <c r="C1281" s="14" t="s">
        <v>4</v>
      </c>
      <c r="D1281">
        <v>5846.8202000000001</v>
      </c>
      <c r="F1281" s="15">
        <v>6.336E-2</v>
      </c>
      <c r="H1281" s="5"/>
      <c r="I1281" s="14" t="s">
        <v>4</v>
      </c>
      <c r="J1281">
        <v>5852.38</v>
      </c>
      <c r="L1281" s="15">
        <v>6.3799999999999996E-2</v>
      </c>
    </row>
    <row r="1282" spans="2:12" x14ac:dyDescent="0.25">
      <c r="B1282" s="5"/>
      <c r="C1282" s="14" t="s">
        <v>5</v>
      </c>
      <c r="D1282">
        <v>1335.932</v>
      </c>
      <c r="F1282" s="15">
        <v>0.13755999999999999</v>
      </c>
      <c r="H1282" s="5"/>
      <c r="I1282" s="14" t="s">
        <v>5</v>
      </c>
      <c r="J1282">
        <v>1336.854</v>
      </c>
      <c r="L1282" s="15">
        <v>0.13780000000000001</v>
      </c>
    </row>
    <row r="1283" spans="2:12" ht="15.75" thickBot="1" x14ac:dyDescent="0.3">
      <c r="B1283" s="5"/>
      <c r="C1283" s="16" t="s">
        <v>6</v>
      </c>
      <c r="D1283">
        <v>1411.84464</v>
      </c>
      <c r="E1283" s="17"/>
      <c r="F1283" s="18">
        <v>0.19031999999999999</v>
      </c>
      <c r="H1283" s="5"/>
      <c r="I1283" s="16" t="s">
        <v>6</v>
      </c>
      <c r="J1283">
        <v>1413.0672</v>
      </c>
      <c r="K1283" s="17"/>
      <c r="L1283" s="18">
        <v>0.19059999999999999</v>
      </c>
    </row>
    <row r="1284" spans="2:12" ht="15.75" thickBot="1" x14ac:dyDescent="0.3">
      <c r="B1284" s="5"/>
      <c r="D1284" s="19"/>
      <c r="F1284" s="19"/>
      <c r="H1284" s="5"/>
      <c r="J1284" s="19"/>
      <c r="L1284" s="19"/>
    </row>
    <row r="1285" spans="2:12" x14ac:dyDescent="0.25">
      <c r="B1285" s="5"/>
      <c r="C1285" s="8" t="s">
        <v>7</v>
      </c>
      <c r="D1285" s="12"/>
      <c r="E1285" s="9"/>
      <c r="F1285" s="10"/>
      <c r="H1285" s="5"/>
      <c r="I1285" s="8" t="s">
        <v>7</v>
      </c>
      <c r="J1285" s="12"/>
      <c r="K1285" s="9"/>
      <c r="L1285" s="10"/>
    </row>
    <row r="1286" spans="2:12" x14ac:dyDescent="0.25">
      <c r="B1286" s="5"/>
      <c r="C1286" s="11" t="s">
        <v>1</v>
      </c>
      <c r="D1286" s="12"/>
      <c r="E1286" s="12"/>
      <c r="F1286" s="13"/>
      <c r="H1286" s="5"/>
      <c r="I1286" s="11" t="s">
        <v>1</v>
      </c>
      <c r="J1286" s="12"/>
      <c r="K1286" s="12"/>
      <c r="L1286" s="13"/>
    </row>
    <row r="1287" spans="2:12" x14ac:dyDescent="0.25">
      <c r="B1287" s="5"/>
      <c r="C1287" s="14"/>
      <c r="D1287" t="s">
        <v>2</v>
      </c>
      <c r="F1287" s="7" t="s">
        <v>3</v>
      </c>
      <c r="H1287" s="5"/>
      <c r="I1287" s="14"/>
      <c r="J1287" t="s">
        <v>2</v>
      </c>
      <c r="L1287" s="7" t="s">
        <v>3</v>
      </c>
    </row>
    <row r="1288" spans="2:12" x14ac:dyDescent="0.25">
      <c r="B1288" s="5"/>
      <c r="C1288" s="14" t="s">
        <v>4</v>
      </c>
      <c r="D1288">
        <v>1335.9829999999999</v>
      </c>
      <c r="F1288">
        <v>4739.6559999999999</v>
      </c>
      <c r="H1288" s="5"/>
      <c r="I1288" s="14" t="s">
        <v>4</v>
      </c>
      <c r="J1288">
        <v>1337.5050000000001</v>
      </c>
      <c r="L1288">
        <v>4788.9989999999998</v>
      </c>
    </row>
    <row r="1289" spans="2:12" x14ac:dyDescent="0.25">
      <c r="B1289" s="5"/>
      <c r="C1289" s="14" t="s">
        <v>5</v>
      </c>
      <c r="D1289">
        <v>769.07117500000004</v>
      </c>
      <c r="F1289">
        <v>1435.183</v>
      </c>
      <c r="H1289" s="5"/>
      <c r="I1289" s="14" t="s">
        <v>5</v>
      </c>
      <c r="J1289">
        <v>770.96612500000003</v>
      </c>
      <c r="L1289">
        <v>1446.0495000000001</v>
      </c>
    </row>
    <row r="1290" spans="2:12" ht="15.75" thickBot="1" x14ac:dyDescent="0.3">
      <c r="B1290" s="5"/>
      <c r="C1290" s="16" t="s">
        <v>6</v>
      </c>
      <c r="D1290">
        <v>915.39724999999999</v>
      </c>
      <c r="E1290" s="17"/>
      <c r="F1290">
        <v>1873.3965000000001</v>
      </c>
      <c r="H1290" s="5"/>
      <c r="I1290" s="16" t="s">
        <v>6</v>
      </c>
      <c r="J1290">
        <v>918.50237500000003</v>
      </c>
      <c r="K1290" s="17"/>
      <c r="L1290">
        <v>1885.32475</v>
      </c>
    </row>
    <row r="1291" spans="2:12" ht="15.75" thickBot="1" x14ac:dyDescent="0.3">
      <c r="B1291" s="5"/>
      <c r="D1291" s="19"/>
      <c r="F1291" s="19"/>
      <c r="H1291" s="5"/>
      <c r="J1291" s="19"/>
      <c r="L1291" s="19"/>
    </row>
    <row r="1292" spans="2:12" x14ac:dyDescent="0.25">
      <c r="B1292" s="22" t="s">
        <v>8</v>
      </c>
      <c r="C1292" s="23"/>
      <c r="D1292" s="23"/>
      <c r="E1292" s="23"/>
      <c r="F1292" s="7"/>
      <c r="H1292" s="22" t="s">
        <v>8</v>
      </c>
      <c r="I1292" s="23"/>
      <c r="J1292" s="23"/>
      <c r="K1292" s="23"/>
      <c r="L1292" s="7"/>
    </row>
    <row r="1293" spans="2:12" ht="15.75" thickBot="1" x14ac:dyDescent="0.3">
      <c r="B1293" s="24" t="s">
        <v>9</v>
      </c>
      <c r="C1293" s="25"/>
      <c r="D1293" s="25"/>
      <c r="E1293" s="25"/>
      <c r="F1293" s="26"/>
      <c r="H1293" s="24" t="s">
        <v>9</v>
      </c>
      <c r="I1293" s="25"/>
      <c r="J1293" s="25"/>
      <c r="K1293" s="25"/>
      <c r="L1293" s="26"/>
    </row>
    <row r="1294" spans="2:12" x14ac:dyDescent="0.25">
      <c r="C1294" s="27" t="s">
        <v>10</v>
      </c>
      <c r="D1294" s="27"/>
      <c r="E1294" s="27"/>
      <c r="F1294" s="27"/>
      <c r="I1294" s="27" t="s">
        <v>10</v>
      </c>
      <c r="J1294" s="27"/>
      <c r="K1294" s="27"/>
      <c r="L1294" s="27"/>
    </row>
    <row r="1298" spans="2:12" ht="15.75" thickBot="1" x14ac:dyDescent="0.3"/>
    <row r="1299" spans="2:12" x14ac:dyDescent="0.25">
      <c r="B1299" s="1"/>
      <c r="C1299" s="2"/>
      <c r="D1299" s="3">
        <v>45698</v>
      </c>
      <c r="E1299" s="2"/>
      <c r="F1299" s="4"/>
      <c r="H1299" s="1"/>
      <c r="I1299" s="2"/>
      <c r="J1299" s="3">
        <v>45705</v>
      </c>
      <c r="K1299" s="2"/>
      <c r="L1299" s="4"/>
    </row>
    <row r="1300" spans="2:12" x14ac:dyDescent="0.25">
      <c r="B1300" s="5"/>
      <c r="D1300" s="6"/>
      <c r="F1300" s="7"/>
      <c r="H1300" s="5"/>
      <c r="J1300" s="6"/>
      <c r="L1300" s="7"/>
    </row>
    <row r="1301" spans="2:12" x14ac:dyDescent="0.25">
      <c r="B1301" s="5"/>
      <c r="C1301" s="8" t="s">
        <v>0</v>
      </c>
      <c r="D1301" s="9"/>
      <c r="E1301" s="9"/>
      <c r="F1301" s="10"/>
      <c r="H1301" s="5"/>
      <c r="I1301" s="8" t="s">
        <v>0</v>
      </c>
      <c r="J1301" s="9"/>
      <c r="K1301" s="9"/>
      <c r="L1301" s="10"/>
    </row>
    <row r="1302" spans="2:12" x14ac:dyDescent="0.25">
      <c r="B1302" s="5"/>
      <c r="C1302" s="11" t="s">
        <v>1</v>
      </c>
      <c r="D1302" s="12"/>
      <c r="E1302" s="12"/>
      <c r="F1302" s="13"/>
      <c r="H1302" s="5"/>
      <c r="I1302" s="11" t="s">
        <v>1</v>
      </c>
      <c r="J1302" s="12"/>
      <c r="K1302" s="12"/>
      <c r="L1302" s="13"/>
    </row>
    <row r="1303" spans="2:12" x14ac:dyDescent="0.25">
      <c r="B1303" s="5"/>
      <c r="C1303" s="14"/>
      <c r="D1303" t="s">
        <v>2</v>
      </c>
      <c r="F1303" s="7" t="s">
        <v>3</v>
      </c>
      <c r="H1303" s="5"/>
      <c r="I1303" s="14"/>
      <c r="J1303" t="s">
        <v>2</v>
      </c>
      <c r="L1303" s="7" t="s">
        <v>3</v>
      </c>
    </row>
    <row r="1304" spans="2:12" x14ac:dyDescent="0.25">
      <c r="B1304" s="5"/>
      <c r="C1304" s="14" t="s">
        <v>4</v>
      </c>
      <c r="D1304">
        <v>5857.9398000000001</v>
      </c>
      <c r="F1304" s="15">
        <v>6.4240000000000005E-2</v>
      </c>
      <c r="H1304" s="5"/>
      <c r="I1304" s="14" t="s">
        <v>4</v>
      </c>
      <c r="J1304">
        <v>5863.4996000000001</v>
      </c>
      <c r="L1304" s="15">
        <v>6.4680000000000001E-2</v>
      </c>
    </row>
    <row r="1305" spans="2:12" x14ac:dyDescent="0.25">
      <c r="B1305" s="5"/>
      <c r="C1305" s="14" t="s">
        <v>5</v>
      </c>
      <c r="D1305">
        <v>1337.7760000000001</v>
      </c>
      <c r="F1305" s="15">
        <v>0.13804</v>
      </c>
      <c r="H1305" s="5"/>
      <c r="I1305" s="14" t="s">
        <v>5</v>
      </c>
      <c r="J1305">
        <v>1338.6980000000001</v>
      </c>
      <c r="L1305" s="15">
        <v>0.13827999999999999</v>
      </c>
    </row>
    <row r="1306" spans="2:12" ht="15.75" thickBot="1" x14ac:dyDescent="0.3">
      <c r="B1306" s="5"/>
      <c r="C1306" s="16" t="s">
        <v>6</v>
      </c>
      <c r="D1306">
        <v>1414.2897599999999</v>
      </c>
      <c r="E1306" s="17"/>
      <c r="F1306" s="18">
        <v>0.19087999999999999</v>
      </c>
      <c r="H1306" s="5"/>
      <c r="I1306" s="16" t="s">
        <v>6</v>
      </c>
      <c r="J1306">
        <v>1415.51232</v>
      </c>
      <c r="K1306" s="17"/>
      <c r="L1306" s="18">
        <v>0.19116</v>
      </c>
    </row>
    <row r="1307" spans="2:12" ht="15.75" thickBot="1" x14ac:dyDescent="0.3">
      <c r="B1307" s="5"/>
      <c r="D1307" s="19"/>
      <c r="F1307" s="19"/>
      <c r="H1307" s="5"/>
      <c r="J1307" s="19"/>
      <c r="L1307" s="19"/>
    </row>
    <row r="1308" spans="2:12" x14ac:dyDescent="0.25">
      <c r="B1308" s="5"/>
      <c r="C1308" s="8" t="s">
        <v>7</v>
      </c>
      <c r="D1308" s="12"/>
      <c r="E1308" s="9"/>
      <c r="F1308" s="10"/>
      <c r="H1308" s="5"/>
      <c r="I1308" s="8" t="s">
        <v>7</v>
      </c>
      <c r="J1308" s="12"/>
      <c r="K1308" s="9"/>
      <c r="L1308" s="10"/>
    </row>
    <row r="1309" spans="2:12" x14ac:dyDescent="0.25">
      <c r="B1309" s="5"/>
      <c r="C1309" s="11" t="s">
        <v>1</v>
      </c>
      <c r="D1309" s="12"/>
      <c r="E1309" s="12"/>
      <c r="F1309" s="13"/>
      <c r="H1309" s="5"/>
      <c r="I1309" s="11" t="s">
        <v>1</v>
      </c>
      <c r="J1309" s="12"/>
      <c r="K1309" s="12"/>
      <c r="L1309" s="13"/>
    </row>
    <row r="1310" spans="2:12" x14ac:dyDescent="0.25">
      <c r="B1310" s="5"/>
      <c r="C1310" s="14"/>
      <c r="D1310" t="s">
        <v>2</v>
      </c>
      <c r="F1310" s="7" t="s">
        <v>3</v>
      </c>
      <c r="H1310" s="5"/>
      <c r="I1310" s="14"/>
      <c r="J1310" t="s">
        <v>2</v>
      </c>
      <c r="L1310" s="7" t="s">
        <v>3</v>
      </c>
    </row>
    <row r="1311" spans="2:12" x14ac:dyDescent="0.25">
      <c r="B1311" s="5"/>
      <c r="C1311" s="14" t="s">
        <v>4</v>
      </c>
      <c r="D1311">
        <v>1339.027</v>
      </c>
      <c r="F1311">
        <v>4838.3419999999996</v>
      </c>
      <c r="H1311" s="5"/>
      <c r="I1311" s="14" t="s">
        <v>4</v>
      </c>
      <c r="J1311">
        <v>1340.549</v>
      </c>
      <c r="L1311">
        <v>4887.6850000000004</v>
      </c>
    </row>
    <row r="1312" spans="2:12" x14ac:dyDescent="0.25">
      <c r="B1312" s="5"/>
      <c r="C1312" s="14" t="s">
        <v>5</v>
      </c>
      <c r="D1312">
        <v>772.8605</v>
      </c>
      <c r="F1312">
        <v>1456.9159999999999</v>
      </c>
      <c r="H1312" s="5"/>
      <c r="I1312" s="14" t="s">
        <v>5</v>
      </c>
      <c r="J1312">
        <v>774.75487499999997</v>
      </c>
      <c r="L1312">
        <v>1467.7825</v>
      </c>
    </row>
    <row r="1313" spans="2:12" ht="15.75" thickBot="1" x14ac:dyDescent="0.3">
      <c r="B1313" s="5"/>
      <c r="C1313" s="16" t="s">
        <v>6</v>
      </c>
      <c r="D1313">
        <v>921.60749999999996</v>
      </c>
      <c r="E1313" s="17"/>
      <c r="F1313">
        <v>1897.2529999999999</v>
      </c>
      <c r="H1313" s="5"/>
      <c r="I1313" s="16" t="s">
        <v>6</v>
      </c>
      <c r="J1313">
        <v>924.712625</v>
      </c>
      <c r="K1313" s="17"/>
      <c r="L1313">
        <v>1909.1812500000001</v>
      </c>
    </row>
    <row r="1314" spans="2:12" ht="15.75" thickBot="1" x14ac:dyDescent="0.3">
      <c r="B1314" s="5"/>
      <c r="D1314" s="19"/>
      <c r="F1314" s="19"/>
      <c r="H1314" s="5"/>
      <c r="J1314" s="19"/>
      <c r="L1314" s="19"/>
    </row>
    <row r="1315" spans="2:12" x14ac:dyDescent="0.25">
      <c r="B1315" s="22" t="s">
        <v>8</v>
      </c>
      <c r="C1315" s="23"/>
      <c r="D1315" s="23"/>
      <c r="E1315" s="23"/>
      <c r="F1315" s="7"/>
      <c r="H1315" s="22" t="s">
        <v>8</v>
      </c>
      <c r="I1315" s="23"/>
      <c r="J1315" s="23"/>
      <c r="K1315" s="23"/>
      <c r="L1315" s="7"/>
    </row>
    <row r="1316" spans="2:12" ht="15.75" thickBot="1" x14ac:dyDescent="0.3">
      <c r="B1316" s="24" t="s">
        <v>9</v>
      </c>
      <c r="C1316" s="25"/>
      <c r="D1316" s="25"/>
      <c r="E1316" s="25"/>
      <c r="F1316" s="26"/>
      <c r="H1316" s="24" t="s">
        <v>9</v>
      </c>
      <c r="I1316" s="25"/>
      <c r="J1316" s="25"/>
      <c r="K1316" s="25"/>
      <c r="L1316" s="26"/>
    </row>
    <row r="1317" spans="2:12" x14ac:dyDescent="0.25">
      <c r="C1317" s="27" t="s">
        <v>10</v>
      </c>
      <c r="D1317" s="27"/>
      <c r="E1317" s="27"/>
      <c r="F1317" s="27"/>
      <c r="I1317" s="27" t="s">
        <v>10</v>
      </c>
      <c r="J1317" s="27"/>
      <c r="K1317" s="27"/>
      <c r="L1317" s="27"/>
    </row>
    <row r="1321" spans="2:12" ht="15.75" thickBot="1" x14ac:dyDescent="0.3"/>
    <row r="1322" spans="2:12" x14ac:dyDescent="0.25">
      <c r="B1322" s="1"/>
      <c r="C1322" s="2"/>
      <c r="D1322" s="3">
        <v>45712</v>
      </c>
      <c r="E1322" s="2"/>
      <c r="F1322" s="4"/>
      <c r="H1322" s="1"/>
      <c r="I1322" s="2"/>
      <c r="J1322" s="3">
        <v>45719</v>
      </c>
      <c r="K1322" s="2"/>
      <c r="L1322" s="4"/>
    </row>
    <row r="1323" spans="2:12" x14ac:dyDescent="0.25">
      <c r="B1323" s="5"/>
      <c r="D1323" s="6"/>
      <c r="F1323" s="7"/>
      <c r="H1323" s="5"/>
      <c r="J1323" s="6"/>
      <c r="L1323" s="7"/>
    </row>
    <row r="1324" spans="2:12" x14ac:dyDescent="0.25">
      <c r="B1324" s="5"/>
      <c r="C1324" s="8" t="s">
        <v>0</v>
      </c>
      <c r="D1324" s="9"/>
      <c r="E1324" s="9"/>
      <c r="F1324" s="10"/>
      <c r="H1324" s="5"/>
      <c r="I1324" s="8" t="s">
        <v>0</v>
      </c>
      <c r="J1324" s="9"/>
      <c r="K1324" s="9"/>
      <c r="L1324" s="10"/>
    </row>
    <row r="1325" spans="2:12" x14ac:dyDescent="0.25">
      <c r="B1325" s="5"/>
      <c r="C1325" s="11" t="s">
        <v>1</v>
      </c>
      <c r="D1325" s="12"/>
      <c r="E1325" s="12"/>
      <c r="F1325" s="13"/>
      <c r="H1325" s="5"/>
      <c r="I1325" s="11" t="s">
        <v>1</v>
      </c>
      <c r="J1325" s="12"/>
      <c r="K1325" s="12"/>
      <c r="L1325" s="13"/>
    </row>
    <row r="1326" spans="2:12" x14ac:dyDescent="0.25">
      <c r="B1326" s="5"/>
      <c r="C1326" s="14"/>
      <c r="D1326" t="s">
        <v>2</v>
      </c>
      <c r="F1326" s="7" t="s">
        <v>3</v>
      </c>
      <c r="H1326" s="5"/>
      <c r="I1326" s="14"/>
      <c r="J1326" t="s">
        <v>2</v>
      </c>
      <c r="L1326" s="7" t="s">
        <v>3</v>
      </c>
    </row>
    <row r="1327" spans="2:12" x14ac:dyDescent="0.25">
      <c r="B1327" s="5"/>
      <c r="C1327" s="14" t="s">
        <v>4</v>
      </c>
      <c r="D1327">
        <v>5869.0594000000001</v>
      </c>
      <c r="F1327" s="15">
        <v>6.5119999999999997E-2</v>
      </c>
      <c r="H1327" s="5"/>
      <c r="I1327" s="14" t="s">
        <v>4</v>
      </c>
      <c r="J1327">
        <v>5880.1790000000001</v>
      </c>
      <c r="L1327" s="15">
        <v>6.6000000000000003E-2</v>
      </c>
    </row>
    <row r="1328" spans="2:12" x14ac:dyDescent="0.25">
      <c r="B1328" s="5"/>
      <c r="C1328" s="14" t="s">
        <v>5</v>
      </c>
      <c r="D1328">
        <v>1339.62</v>
      </c>
      <c r="F1328" s="15">
        <v>0.13852</v>
      </c>
      <c r="H1328" s="5"/>
      <c r="I1328" s="14" t="s">
        <v>5</v>
      </c>
      <c r="J1328">
        <v>1340.4639999999999</v>
      </c>
      <c r="L1328" s="15">
        <v>0.13300000000000001</v>
      </c>
    </row>
    <row r="1329" spans="2:12" ht="15.75" thickBot="1" x14ac:dyDescent="0.3">
      <c r="B1329" s="5"/>
      <c r="C1329" s="16" t="s">
        <v>6</v>
      </c>
      <c r="D1329">
        <v>1416.73488</v>
      </c>
      <c r="E1329" s="17"/>
      <c r="F1329" s="18">
        <v>0.19144</v>
      </c>
      <c r="H1329" s="5"/>
      <c r="I1329" s="16" t="s">
        <v>6</v>
      </c>
      <c r="J1329">
        <v>1417.18</v>
      </c>
      <c r="K1329" s="17"/>
      <c r="L1329" s="18">
        <v>0.192</v>
      </c>
    </row>
    <row r="1330" spans="2:12" ht="15.75" thickBot="1" x14ac:dyDescent="0.3">
      <c r="B1330" s="5"/>
      <c r="D1330" s="19"/>
      <c r="F1330" s="19"/>
      <c r="H1330" s="5"/>
      <c r="J1330" s="19"/>
      <c r="L1330" s="19"/>
    </row>
    <row r="1331" spans="2:12" x14ac:dyDescent="0.25">
      <c r="B1331" s="5"/>
      <c r="C1331" s="8" t="s">
        <v>7</v>
      </c>
      <c r="D1331" s="12"/>
      <c r="E1331" s="9"/>
      <c r="F1331" s="10"/>
      <c r="H1331" s="5"/>
      <c r="I1331" s="8" t="s">
        <v>7</v>
      </c>
      <c r="J1331" s="12"/>
      <c r="K1331" s="9"/>
      <c r="L1331" s="10"/>
    </row>
    <row r="1332" spans="2:12" x14ac:dyDescent="0.25">
      <c r="B1332" s="5"/>
      <c r="C1332" s="11" t="s">
        <v>1</v>
      </c>
      <c r="D1332" s="12"/>
      <c r="E1332" s="12"/>
      <c r="F1332" s="13"/>
      <c r="H1332" s="5"/>
      <c r="I1332" s="11" t="s">
        <v>1</v>
      </c>
      <c r="J1332" s="12"/>
      <c r="K1332" s="12"/>
      <c r="L1332" s="13"/>
    </row>
    <row r="1333" spans="2:12" x14ac:dyDescent="0.25">
      <c r="B1333" s="5"/>
      <c r="C1333" s="14"/>
      <c r="D1333" t="s">
        <v>2</v>
      </c>
      <c r="F1333" s="7" t="s">
        <v>3</v>
      </c>
      <c r="H1333" s="5"/>
      <c r="I1333" s="14"/>
      <c r="J1333" t="s">
        <v>2</v>
      </c>
      <c r="L1333" s="7" t="s">
        <v>3</v>
      </c>
    </row>
    <row r="1334" spans="2:12" x14ac:dyDescent="0.25">
      <c r="B1334" s="5"/>
      <c r="C1334" s="14" t="s">
        <v>4</v>
      </c>
      <c r="D1334">
        <v>1342.0709999999999</v>
      </c>
      <c r="F1334">
        <v>4937.0280000000002</v>
      </c>
      <c r="H1334" s="5"/>
      <c r="I1334" s="14" t="s">
        <v>4</v>
      </c>
      <c r="J1334">
        <v>1342.1849999999999</v>
      </c>
      <c r="L1334">
        <v>5021.4110000000001</v>
      </c>
    </row>
    <row r="1335" spans="2:12" x14ac:dyDescent="0.25">
      <c r="B1335" s="5"/>
      <c r="C1335" s="14" t="s">
        <v>5</v>
      </c>
      <c r="D1335">
        <v>776.64925000000005</v>
      </c>
      <c r="F1335">
        <v>1478.6489999999999</v>
      </c>
      <c r="H1335" s="5"/>
      <c r="I1335" s="14" t="s">
        <v>5</v>
      </c>
      <c r="J1335">
        <v>779.64599999999996</v>
      </c>
      <c r="L1335">
        <v>1493.6659999999999</v>
      </c>
    </row>
    <row r="1336" spans="2:12" ht="15.75" thickBot="1" x14ac:dyDescent="0.3">
      <c r="B1336" s="5"/>
      <c r="C1336" s="16" t="s">
        <v>6</v>
      </c>
      <c r="D1336" t="s">
        <v>82</v>
      </c>
      <c r="E1336" s="17"/>
      <c r="F1336">
        <v>1921.1095</v>
      </c>
      <c r="H1336" s="5"/>
      <c r="I1336" s="16" t="s">
        <v>6</v>
      </c>
      <c r="J1336">
        <v>928.62</v>
      </c>
      <c r="K1336" s="17"/>
      <c r="L1336">
        <v>1935.7619999999999</v>
      </c>
    </row>
    <row r="1337" spans="2:12" ht="15.75" thickBot="1" x14ac:dyDescent="0.3">
      <c r="B1337" s="5"/>
      <c r="D1337" s="19"/>
      <c r="F1337" s="19"/>
      <c r="H1337" s="5"/>
      <c r="J1337" s="19">
        <f>SUM(J1334:J1336)</f>
        <v>3050.451</v>
      </c>
      <c r="L1337" s="19"/>
    </row>
    <row r="1338" spans="2:12" x14ac:dyDescent="0.25">
      <c r="B1338" s="22" t="s">
        <v>8</v>
      </c>
      <c r="C1338" s="23"/>
      <c r="D1338" s="23"/>
      <c r="E1338" s="23"/>
      <c r="F1338" s="7"/>
      <c r="H1338" s="22" t="s">
        <v>8</v>
      </c>
      <c r="I1338" s="23"/>
      <c r="J1338" s="23"/>
      <c r="K1338" s="23"/>
      <c r="L1338" s="7"/>
    </row>
    <row r="1339" spans="2:12" ht="15.75" thickBot="1" x14ac:dyDescent="0.3">
      <c r="B1339" s="24" t="s">
        <v>9</v>
      </c>
      <c r="C1339" s="25"/>
      <c r="D1339" s="25"/>
      <c r="E1339" s="25"/>
      <c r="F1339" s="26"/>
      <c r="H1339" s="24" t="s">
        <v>9</v>
      </c>
      <c r="I1339" s="25"/>
      <c r="J1339" s="25"/>
      <c r="K1339" s="25"/>
      <c r="L1339" s="26"/>
    </row>
    <row r="1340" spans="2:12" x14ac:dyDescent="0.25">
      <c r="C1340" s="27" t="s">
        <v>10</v>
      </c>
      <c r="D1340" s="27"/>
      <c r="E1340" s="27"/>
      <c r="F1340" s="27"/>
      <c r="I1340" s="27" t="s">
        <v>10</v>
      </c>
      <c r="J1340" s="27"/>
      <c r="K1340" s="27"/>
      <c r="L1340" s="27"/>
    </row>
    <row r="1343" spans="2:12" ht="15.75" thickBot="1" x14ac:dyDescent="0.3"/>
    <row r="1344" spans="2:12" x14ac:dyDescent="0.25">
      <c r="B1344" s="1"/>
      <c r="C1344" s="2"/>
      <c r="D1344" s="3">
        <v>45726</v>
      </c>
      <c r="E1344" s="2"/>
      <c r="F1344" s="4"/>
      <c r="H1344" s="1"/>
      <c r="I1344" s="2"/>
      <c r="J1344" s="3">
        <v>45733</v>
      </c>
      <c r="K1344" s="2"/>
      <c r="L1344" s="4"/>
    </row>
    <row r="1345" spans="2:12" x14ac:dyDescent="0.25">
      <c r="B1345" s="5"/>
      <c r="D1345" s="6"/>
      <c r="F1345" s="7"/>
      <c r="H1345" s="5"/>
      <c r="J1345" s="6"/>
      <c r="L1345" s="7"/>
    </row>
    <row r="1346" spans="2:12" x14ac:dyDescent="0.25">
      <c r="B1346" s="5"/>
      <c r="C1346" s="8" t="s">
        <v>0</v>
      </c>
      <c r="D1346" s="9"/>
      <c r="E1346" s="9"/>
      <c r="F1346" s="10"/>
      <c r="H1346" s="5"/>
      <c r="I1346" s="8" t="s">
        <v>0</v>
      </c>
      <c r="J1346" s="9"/>
      <c r="K1346" s="9"/>
      <c r="L1346" s="10"/>
    </row>
    <row r="1347" spans="2:12" x14ac:dyDescent="0.25">
      <c r="B1347" s="5"/>
      <c r="C1347" s="11" t="s">
        <v>1</v>
      </c>
      <c r="D1347" s="12"/>
      <c r="E1347" s="12"/>
      <c r="F1347" s="13"/>
      <c r="H1347" s="5"/>
      <c r="I1347" s="11" t="s">
        <v>1</v>
      </c>
      <c r="J1347" s="12"/>
      <c r="K1347" s="12"/>
      <c r="L1347" s="13"/>
    </row>
    <row r="1348" spans="2:12" x14ac:dyDescent="0.25">
      <c r="B1348" s="5"/>
      <c r="C1348" s="14"/>
      <c r="D1348" t="s">
        <v>2</v>
      </c>
      <c r="F1348" s="7" t="s">
        <v>3</v>
      </c>
      <c r="H1348" s="5"/>
      <c r="I1348" s="14"/>
      <c r="J1348" t="s">
        <v>2</v>
      </c>
      <c r="L1348" s="7" t="s">
        <v>3</v>
      </c>
    </row>
    <row r="1349" spans="2:12" x14ac:dyDescent="0.25">
      <c r="B1349" s="5"/>
      <c r="C1349" s="14" t="s">
        <v>4</v>
      </c>
      <c r="D1349">
        <v>5864.2640000000001</v>
      </c>
      <c r="F1349" s="15">
        <v>6.6000000000000003E-2</v>
      </c>
      <c r="H1349" s="5"/>
      <c r="I1349" s="14" t="s">
        <v>4</v>
      </c>
      <c r="J1349">
        <v>5916.3649999999998</v>
      </c>
      <c r="L1349" s="15">
        <v>6.8000000000000005E-2</v>
      </c>
    </row>
    <row r="1350" spans="2:12" x14ac:dyDescent="0.25">
      <c r="B1350" s="5"/>
      <c r="C1350" s="14" t="s">
        <v>5</v>
      </c>
      <c r="D1350">
        <v>1341.4639999999999</v>
      </c>
      <c r="F1350" s="15">
        <v>0.13300000000000001</v>
      </c>
      <c r="H1350" s="5"/>
      <c r="I1350" s="14" t="s">
        <v>5</v>
      </c>
      <c r="J1350">
        <v>1350.4739999999999</v>
      </c>
      <c r="L1350" s="15">
        <v>0.13300000000000001</v>
      </c>
    </row>
    <row r="1351" spans="2:12" ht="15.75" thickBot="1" x14ac:dyDescent="0.3">
      <c r="B1351" s="5"/>
      <c r="C1351" s="16" t="s">
        <v>6</v>
      </c>
      <c r="D1351">
        <v>1419.18</v>
      </c>
      <c r="E1351" s="17"/>
      <c r="F1351" s="18">
        <v>0.192</v>
      </c>
      <c r="H1351" s="5"/>
      <c r="I1351" s="16" t="s">
        <v>6</v>
      </c>
      <c r="J1351">
        <v>1426.5940000000001</v>
      </c>
      <c r="K1351" s="17"/>
      <c r="L1351" s="18">
        <v>0.192</v>
      </c>
    </row>
    <row r="1352" spans="2:12" ht="15.75" thickBot="1" x14ac:dyDescent="0.3">
      <c r="B1352" s="5"/>
      <c r="D1352" s="19"/>
      <c r="F1352" s="19"/>
      <c r="H1352" s="5"/>
      <c r="J1352" s="19"/>
      <c r="L1352" s="19"/>
    </row>
    <row r="1353" spans="2:12" x14ac:dyDescent="0.25">
      <c r="B1353" s="5"/>
      <c r="C1353" s="8" t="s">
        <v>7</v>
      </c>
      <c r="D1353" s="12"/>
      <c r="E1353" s="9"/>
      <c r="F1353" s="10"/>
      <c r="H1353" s="5"/>
      <c r="I1353" s="8" t="s">
        <v>7</v>
      </c>
      <c r="J1353" s="12"/>
      <c r="K1353" s="9"/>
      <c r="L1353" s="10"/>
    </row>
    <row r="1354" spans="2:12" x14ac:dyDescent="0.25">
      <c r="B1354" s="5"/>
      <c r="C1354" s="11" t="s">
        <v>1</v>
      </c>
      <c r="D1354" s="12"/>
      <c r="E1354" s="12"/>
      <c r="F1354" s="13"/>
      <c r="H1354" s="5"/>
      <c r="I1354" s="11" t="s">
        <v>1</v>
      </c>
      <c r="J1354" s="12"/>
      <c r="K1354" s="12"/>
      <c r="L1354" s="13"/>
    </row>
    <row r="1355" spans="2:12" x14ac:dyDescent="0.25">
      <c r="B1355" s="5"/>
      <c r="C1355" s="14"/>
      <c r="D1355" t="s">
        <v>2</v>
      </c>
      <c r="F1355" s="7" t="s">
        <v>3</v>
      </c>
      <c r="H1355" s="5"/>
      <c r="I1355" s="14"/>
      <c r="J1355" t="s">
        <v>2</v>
      </c>
      <c r="L1355" s="7" t="s">
        <v>3</v>
      </c>
    </row>
    <row r="1356" spans="2:12" x14ac:dyDescent="0.25">
      <c r="B1356" s="5"/>
      <c r="C1356" s="14" t="s">
        <v>4</v>
      </c>
      <c r="D1356">
        <v>1345.115</v>
      </c>
      <c r="F1356">
        <v>5035.7139999999999</v>
      </c>
      <c r="H1356" s="5"/>
      <c r="I1356" s="14" t="s">
        <v>4</v>
      </c>
      <c r="J1356">
        <v>1349.4760000000001</v>
      </c>
      <c r="L1356">
        <v>5080.7610000000004</v>
      </c>
    </row>
    <row r="1357" spans="2:12" x14ac:dyDescent="0.25">
      <c r="B1357" s="5"/>
      <c r="C1357" s="14" t="s">
        <v>5</v>
      </c>
      <c r="D1357">
        <v>780.43799999999999</v>
      </c>
      <c r="F1357">
        <v>1500.3820000000001</v>
      </c>
      <c r="H1357" s="5"/>
      <c r="I1357" s="14" t="s">
        <v>5</v>
      </c>
      <c r="J1357">
        <v>786.92200000000003</v>
      </c>
      <c r="L1357">
        <v>1511.9159999999999</v>
      </c>
    </row>
    <row r="1358" spans="2:12" ht="15.75" thickBot="1" x14ac:dyDescent="0.3">
      <c r="B1358" s="5"/>
      <c r="C1358" s="16" t="s">
        <v>6</v>
      </c>
      <c r="D1358">
        <v>934.02800000000002</v>
      </c>
      <c r="E1358" s="17"/>
      <c r="F1358">
        <v>1944.9659999999999</v>
      </c>
      <c r="H1358" s="5"/>
      <c r="I1358" s="16" t="s">
        <v>6</v>
      </c>
      <c r="J1358">
        <v>939.94899999999996</v>
      </c>
      <c r="K1358" s="17"/>
      <c r="L1358">
        <v>1961.088</v>
      </c>
    </row>
    <row r="1359" spans="2:12" ht="15.75" thickBot="1" x14ac:dyDescent="0.3">
      <c r="B1359" s="5"/>
      <c r="D1359" s="19">
        <f>SUM(D1356:D1358)</f>
        <v>3059.5810000000001</v>
      </c>
      <c r="F1359" s="19"/>
      <c r="H1359" s="5"/>
      <c r="J1359" s="19">
        <f>SUM(J1356:J1358)</f>
        <v>3076.3470000000002</v>
      </c>
      <c r="L1359" s="19"/>
    </row>
    <row r="1360" spans="2:12" x14ac:dyDescent="0.25">
      <c r="B1360" s="22" t="s">
        <v>8</v>
      </c>
      <c r="C1360" s="23"/>
      <c r="D1360" s="23"/>
      <c r="E1360" s="23"/>
      <c r="F1360" s="7"/>
      <c r="H1360" s="22" t="s">
        <v>8</v>
      </c>
      <c r="I1360" s="23"/>
      <c r="J1360" s="23"/>
      <c r="K1360" s="23"/>
      <c r="L1360" s="7"/>
    </row>
    <row r="1361" spans="2:12" ht="15.75" thickBot="1" x14ac:dyDescent="0.3">
      <c r="B1361" s="24" t="s">
        <v>9</v>
      </c>
      <c r="C1361" s="25"/>
      <c r="D1361" s="25"/>
      <c r="E1361" s="25"/>
      <c r="F1361" s="26"/>
      <c r="H1361" s="24" t="s">
        <v>9</v>
      </c>
      <c r="I1361" s="25"/>
      <c r="J1361" s="25"/>
      <c r="K1361" s="25"/>
      <c r="L1361" s="26"/>
    </row>
    <row r="1362" spans="2:12" x14ac:dyDescent="0.25">
      <c r="C1362" s="27" t="s">
        <v>10</v>
      </c>
      <c r="D1362" s="27"/>
      <c r="E1362" s="27"/>
      <c r="F1362" s="27"/>
      <c r="I1362" s="27" t="s">
        <v>10</v>
      </c>
      <c r="J1362" s="27"/>
      <c r="K1362" s="27"/>
      <c r="L1362" s="27"/>
    </row>
  </sheetData>
  <mergeCells count="2">
    <mergeCell ref="N22:R22"/>
    <mergeCell ref="N23:R23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400"/>
  <sheetViews>
    <sheetView topLeftCell="A285" workbookViewId="0">
      <selection activeCell="D37" sqref="D37"/>
    </sheetView>
  </sheetViews>
  <sheetFormatPr defaultRowHeight="15" x14ac:dyDescent="0.25"/>
  <cols>
    <col min="1" max="1" width="1" customWidth="1"/>
    <col min="4" max="4" width="12" bestFit="1" customWidth="1"/>
    <col min="10" max="10" width="10.7109375" bestFit="1" customWidth="1"/>
    <col min="12" max="12" width="9.7109375" bestFit="1" customWidth="1"/>
  </cols>
  <sheetData>
    <row r="1" spans="2:28" ht="15.75" thickBot="1" x14ac:dyDescent="0.3"/>
    <row r="2" spans="2:28" x14ac:dyDescent="0.25">
      <c r="B2" s="1"/>
      <c r="C2" s="2"/>
      <c r="D2" s="3">
        <v>44594</v>
      </c>
      <c r="E2" s="2" t="s">
        <v>28</v>
      </c>
      <c r="F2" s="4"/>
    </row>
    <row r="3" spans="2:28" x14ac:dyDescent="0.25">
      <c r="B3" s="5"/>
      <c r="D3" s="6"/>
      <c r="F3" s="7"/>
      <c r="H3" s="32" t="s">
        <v>11</v>
      </c>
      <c r="I3" s="32"/>
      <c r="J3" s="32"/>
      <c r="K3" s="32"/>
    </row>
    <row r="4" spans="2:28" x14ac:dyDescent="0.25">
      <c r="B4" s="5"/>
      <c r="C4" s="8" t="s">
        <v>0</v>
      </c>
      <c r="D4" s="9"/>
      <c r="E4" s="9"/>
      <c r="F4" s="10"/>
      <c r="H4" s="8" t="s">
        <v>0</v>
      </c>
      <c r="I4" s="9"/>
      <c r="J4" s="9"/>
      <c r="K4" s="10"/>
      <c r="R4" s="28"/>
      <c r="S4" s="28"/>
    </row>
    <row r="5" spans="2:28" x14ac:dyDescent="0.25">
      <c r="B5" s="5"/>
      <c r="C5" s="11" t="s">
        <v>1</v>
      </c>
      <c r="D5" s="12"/>
      <c r="E5" s="12"/>
      <c r="F5" s="13"/>
      <c r="H5" s="11" t="s">
        <v>1</v>
      </c>
      <c r="I5" s="12"/>
      <c r="J5" s="12"/>
      <c r="K5" s="13"/>
    </row>
    <row r="6" spans="2:28" x14ac:dyDescent="0.25">
      <c r="B6" s="5"/>
      <c r="C6" s="14"/>
      <c r="D6" t="s">
        <v>2</v>
      </c>
      <c r="F6" s="7" t="s">
        <v>3</v>
      </c>
      <c r="H6" s="14"/>
      <c r="I6" t="s">
        <v>2</v>
      </c>
      <c r="K6" s="7" t="s">
        <v>3</v>
      </c>
    </row>
    <row r="7" spans="2:28" x14ac:dyDescent="0.25">
      <c r="B7" s="5"/>
      <c r="C7" s="14" t="s">
        <v>4</v>
      </c>
      <c r="D7">
        <f>1445.22*25</f>
        <v>36130.5</v>
      </c>
      <c r="F7" s="15">
        <f>0.009*25</f>
        <v>0.22499999999999998</v>
      </c>
      <c r="H7" s="14" t="s">
        <v>4</v>
      </c>
      <c r="I7">
        <f>1433.33*25</f>
        <v>35833.25</v>
      </c>
      <c r="K7" s="15">
        <f>0.009*25</f>
        <v>0.22499999999999998</v>
      </c>
      <c r="N7" s="33" t="s">
        <v>12</v>
      </c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</row>
    <row r="8" spans="2:28" x14ac:dyDescent="0.25">
      <c r="B8" s="5"/>
      <c r="C8" s="14" t="s">
        <v>5</v>
      </c>
      <c r="D8">
        <f>340.98*25</f>
        <v>8524.5</v>
      </c>
      <c r="F8" s="15">
        <f>0.035*25</f>
        <v>0.87500000000000011</v>
      </c>
      <c r="H8" s="14" t="s">
        <v>5</v>
      </c>
      <c r="I8">
        <f>340.96*25</f>
        <v>8524</v>
      </c>
      <c r="K8" s="15">
        <f>0.035*25</f>
        <v>0.87500000000000011</v>
      </c>
      <c r="N8" s="33" t="s">
        <v>13</v>
      </c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2:28" ht="15.75" thickBot="1" x14ac:dyDescent="0.3">
      <c r="B9" s="5"/>
      <c r="C9" s="16" t="s">
        <v>6</v>
      </c>
      <c r="D9">
        <f>332.93*25</f>
        <v>8323.25</v>
      </c>
      <c r="E9" s="17"/>
      <c r="F9" s="18">
        <f>0.052*25</f>
        <v>1.3</v>
      </c>
      <c r="H9" s="16" t="s">
        <v>6</v>
      </c>
      <c r="I9">
        <f>332.93*25</f>
        <v>8323.25</v>
      </c>
      <c r="J9" s="17"/>
      <c r="K9" s="18">
        <f>0.052*25</f>
        <v>1.3</v>
      </c>
      <c r="N9" s="33" t="s">
        <v>14</v>
      </c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2:28" ht="15.75" thickBot="1" x14ac:dyDescent="0.3">
      <c r="B10" s="5"/>
      <c r="D10" s="19">
        <f>2119.13*25</f>
        <v>52978.25</v>
      </c>
      <c r="F10" s="19">
        <f>0.096*25</f>
        <v>2.4</v>
      </c>
      <c r="I10" s="19">
        <f>2107.22*25</f>
        <v>52680.499999999993</v>
      </c>
      <c r="K10" s="19">
        <f>0.096*25</f>
        <v>2.4</v>
      </c>
    </row>
    <row r="11" spans="2:28" x14ac:dyDescent="0.25">
      <c r="B11" s="5"/>
      <c r="C11" s="8" t="s">
        <v>7</v>
      </c>
      <c r="D11" s="12"/>
      <c r="E11" s="9"/>
      <c r="F11" s="10"/>
    </row>
    <row r="12" spans="2:28" x14ac:dyDescent="0.25">
      <c r="B12" s="5"/>
      <c r="C12" s="11" t="s">
        <v>1</v>
      </c>
      <c r="D12" s="12"/>
      <c r="E12" s="12"/>
      <c r="F12" s="13"/>
    </row>
    <row r="13" spans="2:28" x14ac:dyDescent="0.25">
      <c r="B13" s="5"/>
      <c r="C13" s="14"/>
      <c r="D13" t="s">
        <v>2</v>
      </c>
      <c r="F13" s="7" t="s">
        <v>3</v>
      </c>
    </row>
    <row r="14" spans="2:28" x14ac:dyDescent="0.25">
      <c r="B14" s="5"/>
      <c r="C14" s="14" t="s">
        <v>4</v>
      </c>
      <c r="D14">
        <f>0.43</f>
        <v>0.43</v>
      </c>
      <c r="F14" s="20">
        <f>190.828</f>
        <v>190.828</v>
      </c>
    </row>
    <row r="15" spans="2:28" x14ac:dyDescent="0.25">
      <c r="B15" s="5"/>
      <c r="C15" s="14" t="s">
        <v>5</v>
      </c>
      <c r="D15">
        <f>9.512</f>
        <v>9.5120000000000005</v>
      </c>
      <c r="F15" s="21">
        <f>53.258</f>
        <v>53.258000000000003</v>
      </c>
    </row>
    <row r="16" spans="2:28" ht="15.75" thickBot="1" x14ac:dyDescent="0.3">
      <c r="B16" s="5"/>
      <c r="C16" s="16" t="s">
        <v>6</v>
      </c>
      <c r="D16">
        <f>9.788</f>
        <v>9.7880000000000003</v>
      </c>
      <c r="E16" s="17"/>
      <c r="F16" s="21">
        <f>48.679</f>
        <v>48.679000000000002</v>
      </c>
    </row>
    <row r="17" spans="2:21" ht="15.75" thickBot="1" x14ac:dyDescent="0.3">
      <c r="B17" s="5"/>
      <c r="D17" s="19">
        <f>19.73</f>
        <v>19.73</v>
      </c>
      <c r="F17" s="19">
        <f>292.765</f>
        <v>292.76499999999999</v>
      </c>
    </row>
    <row r="18" spans="2:21" x14ac:dyDescent="0.25">
      <c r="B18" s="22" t="s">
        <v>8</v>
      </c>
      <c r="C18" s="23"/>
      <c r="D18" s="23"/>
      <c r="E18" s="23">
        <f>D10-I10</f>
        <v>297.75000000000728</v>
      </c>
      <c r="F18" s="7"/>
    </row>
    <row r="19" spans="2:21" ht="15.75" thickBot="1" x14ac:dyDescent="0.3">
      <c r="B19" s="24" t="s">
        <v>9</v>
      </c>
      <c r="C19" s="25"/>
      <c r="D19" s="25"/>
      <c r="E19" s="25"/>
      <c r="F19" s="26"/>
    </row>
    <row r="20" spans="2:21" x14ac:dyDescent="0.25">
      <c r="B20" s="27" t="s">
        <v>10</v>
      </c>
      <c r="C20" s="27"/>
      <c r="D20" s="27"/>
      <c r="E20" s="27"/>
    </row>
    <row r="21" spans="2:21" ht="15.75" thickBot="1" x14ac:dyDescent="0.3"/>
    <row r="22" spans="2:21" x14ac:dyDescent="0.25">
      <c r="B22" s="1"/>
      <c r="C22" s="2"/>
      <c r="D22" s="3">
        <v>44595</v>
      </c>
      <c r="E22" s="2" t="s">
        <v>28</v>
      </c>
      <c r="F22" s="4"/>
      <c r="H22" s="1"/>
      <c r="I22" s="2"/>
      <c r="J22" s="3">
        <v>44596</v>
      </c>
      <c r="K22" s="2" t="s">
        <v>28</v>
      </c>
      <c r="L22" s="4"/>
    </row>
    <row r="23" spans="2:21" x14ac:dyDescent="0.25">
      <c r="B23" s="5"/>
      <c r="D23" s="6"/>
      <c r="F23" s="7"/>
      <c r="H23" s="5"/>
      <c r="J23" s="6"/>
      <c r="L23" s="7"/>
      <c r="O23" s="33" t="s">
        <v>15</v>
      </c>
      <c r="P23" s="33"/>
      <c r="Q23" s="33"/>
      <c r="R23" s="33"/>
      <c r="S23" s="33"/>
      <c r="T23" s="33"/>
      <c r="U23" s="33"/>
    </row>
    <row r="24" spans="2:21" x14ac:dyDescent="0.25">
      <c r="B24" s="5"/>
      <c r="C24" s="8" t="s">
        <v>0</v>
      </c>
      <c r="D24" s="9"/>
      <c r="E24" s="9"/>
      <c r="F24" s="10"/>
      <c r="H24" s="5"/>
      <c r="I24" s="8" t="s">
        <v>0</v>
      </c>
      <c r="J24" s="9"/>
      <c r="K24" s="9"/>
      <c r="L24" s="10"/>
      <c r="O24" s="33" t="s">
        <v>16</v>
      </c>
      <c r="P24" s="33"/>
      <c r="Q24" s="33"/>
      <c r="R24" s="33"/>
      <c r="S24" s="33"/>
      <c r="T24" s="33"/>
      <c r="U24" s="33"/>
    </row>
    <row r="25" spans="2:21" x14ac:dyDescent="0.25">
      <c r="B25" s="5"/>
      <c r="C25" s="11" t="s">
        <v>1</v>
      </c>
      <c r="D25" s="12"/>
      <c r="E25" s="12"/>
      <c r="F25" s="13"/>
      <c r="H25" s="5"/>
      <c r="I25" s="11" t="s">
        <v>1</v>
      </c>
      <c r="J25" s="12"/>
      <c r="K25" s="12"/>
      <c r="L25" s="13"/>
      <c r="O25" t="s">
        <v>17</v>
      </c>
    </row>
    <row r="26" spans="2:21" x14ac:dyDescent="0.25">
      <c r="B26" s="5"/>
      <c r="C26" s="14"/>
      <c r="D26" t="s">
        <v>2</v>
      </c>
      <c r="F26" s="7" t="s">
        <v>3</v>
      </c>
      <c r="H26" s="5"/>
      <c r="I26" s="14"/>
      <c r="J26" t="s">
        <v>2</v>
      </c>
      <c r="L26" s="7" t="s">
        <v>3</v>
      </c>
      <c r="O26" t="s">
        <v>18</v>
      </c>
    </row>
    <row r="27" spans="2:21" x14ac:dyDescent="0.25">
      <c r="B27" s="5"/>
      <c r="C27" s="14" t="s">
        <v>4</v>
      </c>
      <c r="D27">
        <f>1451.138*25</f>
        <v>36278.449999999997</v>
      </c>
      <c r="F27" s="15">
        <f>0.009*25</f>
        <v>0.22499999999999998</v>
      </c>
      <c r="H27" s="5"/>
      <c r="I27" s="14" t="s">
        <v>4</v>
      </c>
      <c r="J27">
        <f>1451.82*25</f>
        <v>36295.5</v>
      </c>
      <c r="L27" s="15">
        <f>0.009*25</f>
        <v>0.22499999999999998</v>
      </c>
    </row>
    <row r="28" spans="2:21" x14ac:dyDescent="0.25">
      <c r="B28" s="5"/>
      <c r="C28" s="14" t="s">
        <v>5</v>
      </c>
      <c r="D28">
        <f>341.005*25</f>
        <v>8525.125</v>
      </c>
      <c r="F28" s="15">
        <f>0.035*25</f>
        <v>0.87500000000000011</v>
      </c>
      <c r="H28" s="5"/>
      <c r="I28" s="14" t="s">
        <v>5</v>
      </c>
      <c r="J28">
        <f>341.007*25</f>
        <v>8525.1749999999993</v>
      </c>
      <c r="L28" s="15">
        <f>0.035*25</f>
        <v>0.87500000000000011</v>
      </c>
    </row>
    <row r="29" spans="2:21" ht="15.75" thickBot="1" x14ac:dyDescent="0.3">
      <c r="B29" s="5"/>
      <c r="C29" s="16" t="s">
        <v>6</v>
      </c>
      <c r="D29">
        <f>332.94*25</f>
        <v>8323.5</v>
      </c>
      <c r="E29" s="17"/>
      <c r="F29" s="18">
        <f>0.052*25</f>
        <v>1.3</v>
      </c>
      <c r="H29" s="5"/>
      <c r="I29" s="16" t="s">
        <v>6</v>
      </c>
      <c r="J29">
        <f>332.943*25</f>
        <v>8323.5749999999989</v>
      </c>
      <c r="K29" s="17"/>
      <c r="L29" s="18">
        <f>0.052*25</f>
        <v>1.3</v>
      </c>
    </row>
    <row r="30" spans="2:21" ht="15.75" thickBot="1" x14ac:dyDescent="0.3">
      <c r="B30" s="5"/>
      <c r="D30" s="19">
        <f>2125.083*25</f>
        <v>53127.075000000004</v>
      </c>
      <c r="F30" s="19">
        <f>0.096*25</f>
        <v>2.4</v>
      </c>
      <c r="H30" s="5"/>
      <c r="J30" s="19">
        <f>2125.77*25</f>
        <v>53144.25</v>
      </c>
      <c r="L30" s="19">
        <f>0.096*25</f>
        <v>2.4</v>
      </c>
    </row>
    <row r="31" spans="2:21" x14ac:dyDescent="0.25">
      <c r="B31" s="5"/>
      <c r="C31" s="8" t="s">
        <v>7</v>
      </c>
      <c r="D31" s="12"/>
      <c r="E31" s="9"/>
      <c r="F31" s="10"/>
      <c r="H31" s="5"/>
      <c r="I31" s="8" t="s">
        <v>7</v>
      </c>
      <c r="J31" s="12"/>
      <c r="K31" s="9"/>
      <c r="L31" s="10"/>
    </row>
    <row r="32" spans="2:21" x14ac:dyDescent="0.25">
      <c r="B32" s="5"/>
      <c r="C32" s="11" t="s">
        <v>1</v>
      </c>
      <c r="D32" s="12"/>
      <c r="E32" s="12"/>
      <c r="F32" s="13"/>
      <c r="H32" s="5"/>
      <c r="I32" s="11" t="s">
        <v>1</v>
      </c>
      <c r="J32" s="12"/>
      <c r="K32" s="12"/>
      <c r="L32" s="13"/>
    </row>
    <row r="33" spans="2:15" x14ac:dyDescent="0.25">
      <c r="B33" s="5"/>
      <c r="C33" s="14"/>
      <c r="D33" t="s">
        <v>2</v>
      </c>
      <c r="F33" s="7" t="s">
        <v>3</v>
      </c>
      <c r="H33" s="5"/>
      <c r="I33" s="14"/>
      <c r="J33" t="s">
        <v>2</v>
      </c>
      <c r="L33" s="7" t="s">
        <v>3</v>
      </c>
    </row>
    <row r="34" spans="2:15" x14ac:dyDescent="0.25">
      <c r="B34" s="5"/>
      <c r="C34" s="14" t="s">
        <v>4</v>
      </c>
      <c r="D34">
        <f>0.43*25</f>
        <v>10.75</v>
      </c>
      <c r="F34" s="20">
        <f>206.32</f>
        <v>206.32</v>
      </c>
      <c r="H34" s="5"/>
      <c r="I34" s="14" t="s">
        <v>4</v>
      </c>
      <c r="J34">
        <f>0.43*25</f>
        <v>10.75</v>
      </c>
      <c r="L34" s="20">
        <f>228.295*25</f>
        <v>5707.375</v>
      </c>
    </row>
    <row r="35" spans="2:15" x14ac:dyDescent="0.25">
      <c r="B35" s="5"/>
      <c r="C35" s="14" t="s">
        <v>5</v>
      </c>
      <c r="D35">
        <f>9.512*25</f>
        <v>237.8</v>
      </c>
      <c r="F35" s="21">
        <f>55.594</f>
        <v>55.594000000000001</v>
      </c>
      <c r="H35" s="5"/>
      <c r="I35" s="14" t="s">
        <v>5</v>
      </c>
      <c r="J35">
        <f>9.512*25</f>
        <v>237.8</v>
      </c>
      <c r="L35" s="21">
        <f>60.927*25</f>
        <v>1523.175</v>
      </c>
    </row>
    <row r="36" spans="2:15" ht="15.75" thickBot="1" x14ac:dyDescent="0.3">
      <c r="B36" s="5"/>
      <c r="C36" s="16" t="s">
        <v>6</v>
      </c>
      <c r="D36">
        <f>9.788*25</f>
        <v>244.70000000000002</v>
      </c>
      <c r="E36" s="17"/>
      <c r="F36" s="21">
        <f>50.88</f>
        <v>50.88</v>
      </c>
      <c r="H36" s="5"/>
      <c r="I36" s="16" t="s">
        <v>6</v>
      </c>
      <c r="J36">
        <f>9.788*25</f>
        <v>244.70000000000002</v>
      </c>
      <c r="K36" s="17"/>
      <c r="L36" s="21">
        <f>55.623*25</f>
        <v>1390.575</v>
      </c>
    </row>
    <row r="37" spans="2:15" ht="15.75" thickBot="1" x14ac:dyDescent="0.3">
      <c r="B37" s="5"/>
      <c r="D37" s="19">
        <f>19.73*25</f>
        <v>493.25</v>
      </c>
      <c r="F37" s="19">
        <f>312.794</f>
        <v>312.79399999999998</v>
      </c>
      <c r="H37" s="5"/>
      <c r="J37" s="19">
        <f>19.73*25</f>
        <v>493.25</v>
      </c>
      <c r="L37" s="19">
        <f>344.845*25</f>
        <v>8621.125</v>
      </c>
    </row>
    <row r="38" spans="2:15" x14ac:dyDescent="0.25">
      <c r="B38" s="22" t="s">
        <v>8</v>
      </c>
      <c r="C38" s="23"/>
      <c r="D38" s="23"/>
      <c r="E38" s="23">
        <f>D30-D10</f>
        <v>148.82500000000437</v>
      </c>
      <c r="F38" s="7"/>
      <c r="H38" s="22" t="s">
        <v>8</v>
      </c>
      <c r="I38" s="23"/>
      <c r="J38" s="23"/>
      <c r="K38" s="23">
        <f>J30-D30</f>
        <v>17.174999999995634</v>
      </c>
      <c r="L38" s="7"/>
    </row>
    <row r="39" spans="2:15" ht="15.75" thickBot="1" x14ac:dyDescent="0.3">
      <c r="B39" s="24" t="s">
        <v>9</v>
      </c>
      <c r="C39" s="25"/>
      <c r="D39" s="25"/>
      <c r="E39" s="25">
        <f>F37-F17</f>
        <v>20.028999999999996</v>
      </c>
      <c r="F39" s="26"/>
      <c r="H39" s="24" t="s">
        <v>9</v>
      </c>
      <c r="I39" s="25"/>
      <c r="J39" s="25"/>
      <c r="K39" s="25">
        <f>L37-F37</f>
        <v>8308.3310000000001</v>
      </c>
      <c r="L39" s="26"/>
    </row>
    <row r="40" spans="2:15" x14ac:dyDescent="0.25">
      <c r="B40" s="27" t="s">
        <v>10</v>
      </c>
      <c r="C40" s="27"/>
      <c r="D40" s="27"/>
      <c r="E40" s="27">
        <f>D37-D17</f>
        <v>473.52</v>
      </c>
      <c r="H40" s="27" t="s">
        <v>10</v>
      </c>
      <c r="I40" s="27"/>
      <c r="J40" s="27"/>
      <c r="K40" s="27">
        <f>J37-D37</f>
        <v>0</v>
      </c>
    </row>
    <row r="41" spans="2:15" ht="15.75" thickBot="1" x14ac:dyDescent="0.3"/>
    <row r="42" spans="2:15" x14ac:dyDescent="0.25">
      <c r="B42" s="1"/>
      <c r="C42" s="2"/>
      <c r="D42" s="3">
        <v>44599</v>
      </c>
      <c r="E42" s="2" t="s">
        <v>21</v>
      </c>
      <c r="F42" s="4"/>
      <c r="H42" s="1"/>
      <c r="I42" s="2"/>
      <c r="J42" s="3">
        <v>44600</v>
      </c>
      <c r="K42" s="2" t="s">
        <v>21</v>
      </c>
      <c r="L42" s="4"/>
    </row>
    <row r="43" spans="2:15" x14ac:dyDescent="0.25">
      <c r="B43" s="5"/>
      <c r="D43" s="6"/>
      <c r="F43" s="7"/>
      <c r="H43" s="5"/>
      <c r="J43" s="6"/>
      <c r="L43" s="7"/>
      <c r="O43" t="s">
        <v>19</v>
      </c>
    </row>
    <row r="44" spans="2:15" x14ac:dyDescent="0.25">
      <c r="B44" s="5"/>
      <c r="C44" s="8" t="s">
        <v>0</v>
      </c>
      <c r="D44" s="9"/>
      <c r="E44" s="9"/>
      <c r="F44" s="10"/>
      <c r="H44" s="5"/>
      <c r="I44" s="8" t="s">
        <v>0</v>
      </c>
      <c r="J44" s="9"/>
      <c r="K44" s="9"/>
      <c r="L44" s="10"/>
      <c r="O44" t="s">
        <v>20</v>
      </c>
    </row>
    <row r="45" spans="2:15" x14ac:dyDescent="0.25">
      <c r="B45" s="5"/>
      <c r="C45" s="11" t="s">
        <v>1</v>
      </c>
      <c r="D45" s="12"/>
      <c r="E45" s="12"/>
      <c r="F45" s="13"/>
      <c r="H45" s="5"/>
      <c r="I45" s="11" t="s">
        <v>1</v>
      </c>
      <c r="J45" s="12"/>
      <c r="K45" s="12"/>
      <c r="L45" s="13"/>
      <c r="O45" t="s">
        <v>22</v>
      </c>
    </row>
    <row r="46" spans="2:15" x14ac:dyDescent="0.25">
      <c r="B46" s="5"/>
      <c r="C46" s="14"/>
      <c r="D46" t="s">
        <v>2</v>
      </c>
      <c r="F46" s="7" t="s">
        <v>3</v>
      </c>
      <c r="H46" s="5"/>
      <c r="I46" s="14"/>
      <c r="J46" t="s">
        <v>2</v>
      </c>
      <c r="L46" s="7" t="s">
        <v>3</v>
      </c>
      <c r="O46" t="s">
        <v>23</v>
      </c>
    </row>
    <row r="47" spans="2:15" x14ac:dyDescent="0.25">
      <c r="B47" s="5"/>
      <c r="C47" s="14" t="s">
        <v>4</v>
      </c>
      <c r="D47">
        <f>1451.829*25</f>
        <v>36295.724999999999</v>
      </c>
      <c r="F47" s="15">
        <f>0.009*25</f>
        <v>0.22499999999999998</v>
      </c>
      <c r="H47" s="5"/>
      <c r="I47" s="14" t="s">
        <v>4</v>
      </c>
      <c r="J47">
        <f>1455.161*25</f>
        <v>36379.025000000001</v>
      </c>
      <c r="L47" s="15">
        <f>0.01*25</f>
        <v>0.25</v>
      </c>
    </row>
    <row r="48" spans="2:15" x14ac:dyDescent="0.25">
      <c r="B48" s="5"/>
      <c r="C48" s="14" t="s">
        <v>5</v>
      </c>
      <c r="D48">
        <f>342.823*25</f>
        <v>8570.5749999999989</v>
      </c>
      <c r="F48" s="15">
        <f>0.035*25</f>
        <v>0.87500000000000011</v>
      </c>
      <c r="H48" s="5"/>
      <c r="I48" s="14" t="s">
        <v>5</v>
      </c>
      <c r="J48">
        <f>342.843*25</f>
        <v>8571.0750000000007</v>
      </c>
      <c r="L48" s="15">
        <f>0.035*25</f>
        <v>0.87500000000000011</v>
      </c>
    </row>
    <row r="49" spans="2:15" ht="15.75" thickBot="1" x14ac:dyDescent="0.3">
      <c r="B49" s="5"/>
      <c r="C49" s="16" t="s">
        <v>6</v>
      </c>
      <c r="D49">
        <f>336.195*25</f>
        <v>8404.875</v>
      </c>
      <c r="E49" s="17"/>
      <c r="F49" s="18">
        <f>0.052*25</f>
        <v>1.3</v>
      </c>
      <c r="H49" s="5"/>
      <c r="I49" s="16" t="s">
        <v>6</v>
      </c>
      <c r="J49">
        <f>336.197*25</f>
        <v>8404.9249999999993</v>
      </c>
      <c r="K49" s="17"/>
      <c r="L49" s="18">
        <f>0.052*25</f>
        <v>1.3</v>
      </c>
    </row>
    <row r="50" spans="2:15" ht="15.75" thickBot="1" x14ac:dyDescent="0.3">
      <c r="B50" s="5"/>
      <c r="D50" s="19">
        <f>2130.847*25</f>
        <v>53271.175000000003</v>
      </c>
      <c r="F50" s="19">
        <f>0.096*25</f>
        <v>2.4</v>
      </c>
      <c r="H50" s="5"/>
      <c r="J50" s="19">
        <f>2134.201*25</f>
        <v>53355.025000000001</v>
      </c>
      <c r="L50" s="19">
        <f>0.097*25</f>
        <v>2.4250000000000003</v>
      </c>
    </row>
    <row r="51" spans="2:15" x14ac:dyDescent="0.25">
      <c r="B51" s="5"/>
      <c r="C51" s="8" t="s">
        <v>7</v>
      </c>
      <c r="D51" s="12"/>
      <c r="E51" s="9"/>
      <c r="F51" s="10"/>
      <c r="H51" s="5"/>
      <c r="I51" s="8" t="s">
        <v>7</v>
      </c>
      <c r="J51" s="12"/>
      <c r="K51" s="9"/>
      <c r="L51" s="10"/>
    </row>
    <row r="52" spans="2:15" x14ac:dyDescent="0.25">
      <c r="B52" s="5"/>
      <c r="C52" s="11" t="s">
        <v>1</v>
      </c>
      <c r="D52" s="12"/>
      <c r="E52" s="12"/>
      <c r="F52" s="13"/>
      <c r="H52" s="5"/>
      <c r="I52" s="11" t="s">
        <v>1</v>
      </c>
      <c r="J52" s="12"/>
      <c r="K52" s="12"/>
      <c r="L52" s="13"/>
    </row>
    <row r="53" spans="2:15" x14ac:dyDescent="0.25">
      <c r="B53" s="5"/>
      <c r="C53" s="14"/>
      <c r="D53" t="s">
        <v>2</v>
      </c>
      <c r="F53" s="7" t="s">
        <v>3</v>
      </c>
      <c r="H53" s="5"/>
      <c r="I53" s="14"/>
      <c r="J53" t="s">
        <v>2</v>
      </c>
      <c r="L53" s="7" t="s">
        <v>3</v>
      </c>
    </row>
    <row r="54" spans="2:15" x14ac:dyDescent="0.25">
      <c r="B54" s="5"/>
      <c r="C54" s="14" t="s">
        <v>4</v>
      </c>
      <c r="D54">
        <f>0.43*25</f>
        <v>10.75</v>
      </c>
      <c r="F54" s="20">
        <f>229.632*25</f>
        <v>5740.8</v>
      </c>
      <c r="H54" s="5"/>
      <c r="I54" s="14" t="s">
        <v>4</v>
      </c>
      <c r="J54">
        <f>0.494*25</f>
        <v>12.35</v>
      </c>
      <c r="L54" s="20">
        <f>249.052*25</f>
        <v>6226.3</v>
      </c>
    </row>
    <row r="55" spans="2:15" x14ac:dyDescent="0.25">
      <c r="B55" s="5"/>
      <c r="C55" s="14" t="s">
        <v>5</v>
      </c>
      <c r="D55">
        <f>9.83*25</f>
        <v>245.75</v>
      </c>
      <c r="F55" s="21">
        <f>72.953*25</f>
        <v>1823.825</v>
      </c>
      <c r="H55" s="5"/>
      <c r="I55" s="14" t="s">
        <v>5</v>
      </c>
      <c r="J55">
        <f>9.83*25</f>
        <v>245.75</v>
      </c>
      <c r="L55" s="21">
        <f>77.48*25</f>
        <v>1937</v>
      </c>
    </row>
    <row r="56" spans="2:15" ht="15.75" thickBot="1" x14ac:dyDescent="0.3">
      <c r="B56" s="5"/>
      <c r="C56" s="16" t="s">
        <v>6</v>
      </c>
      <c r="D56">
        <f>12.472*25</f>
        <v>311.8</v>
      </c>
      <c r="E56" s="17"/>
      <c r="F56" s="21">
        <f>59.754*25</f>
        <v>1493.85</v>
      </c>
      <c r="H56" s="5"/>
      <c r="I56" s="16" t="s">
        <v>6</v>
      </c>
      <c r="J56">
        <f>12.472*25</f>
        <v>311.8</v>
      </c>
      <c r="K56" s="17"/>
      <c r="L56" s="21">
        <f>64.928*25</f>
        <v>1623.1999999999998</v>
      </c>
    </row>
    <row r="57" spans="2:15" ht="15.75" thickBot="1" x14ac:dyDescent="0.3">
      <c r="B57" s="5"/>
      <c r="D57" s="19">
        <f>22.732*25</f>
        <v>568.29999999999995</v>
      </c>
      <c r="F57" s="19">
        <f>362.339*25</f>
        <v>9058.4750000000004</v>
      </c>
      <c r="H57" s="5"/>
      <c r="J57" s="19">
        <f>22.796*25</f>
        <v>569.9</v>
      </c>
      <c r="L57" s="19">
        <f>391.46*25</f>
        <v>9786.5</v>
      </c>
    </row>
    <row r="58" spans="2:15" x14ac:dyDescent="0.25">
      <c r="B58" s="22" t="s">
        <v>8</v>
      </c>
      <c r="C58" s="23"/>
      <c r="D58" s="23"/>
      <c r="E58" s="23">
        <f>D50-J30</f>
        <v>126.92500000000291</v>
      </c>
      <c r="F58" s="7"/>
      <c r="H58" s="22" t="s">
        <v>8</v>
      </c>
      <c r="I58" s="23"/>
      <c r="J58" s="23"/>
      <c r="K58" s="23">
        <f>J50-D50</f>
        <v>83.849999999998545</v>
      </c>
      <c r="L58" s="7"/>
    </row>
    <row r="59" spans="2:15" ht="15.75" thickBot="1" x14ac:dyDescent="0.3">
      <c r="B59" s="24" t="s">
        <v>9</v>
      </c>
      <c r="C59" s="25"/>
      <c r="D59" s="25"/>
      <c r="E59" s="25">
        <f>F57-L37</f>
        <v>437.35000000000036</v>
      </c>
      <c r="F59" s="26"/>
      <c r="H59" s="24" t="s">
        <v>9</v>
      </c>
      <c r="I59" s="25"/>
      <c r="J59" s="25"/>
      <c r="K59" s="25">
        <f>L57-F57</f>
        <v>728.02499999999964</v>
      </c>
      <c r="L59" s="26"/>
    </row>
    <row r="60" spans="2:15" x14ac:dyDescent="0.25">
      <c r="B60" s="27" t="s">
        <v>10</v>
      </c>
      <c r="C60" s="27"/>
      <c r="D60" s="27"/>
      <c r="E60" s="27">
        <f>D57-J37</f>
        <v>75.049999999999955</v>
      </c>
      <c r="H60" s="27" t="s">
        <v>10</v>
      </c>
      <c r="I60" s="27"/>
      <c r="J60" s="27"/>
      <c r="K60" s="27">
        <f>J57-D57</f>
        <v>1.6000000000000227</v>
      </c>
    </row>
    <row r="61" spans="2:15" ht="15.75" thickBot="1" x14ac:dyDescent="0.3"/>
    <row r="62" spans="2:15" x14ac:dyDescent="0.25">
      <c r="B62" s="1"/>
      <c r="C62" s="2"/>
      <c r="D62" s="3">
        <v>44601</v>
      </c>
      <c r="E62" s="2" t="s">
        <v>21</v>
      </c>
      <c r="F62" s="4"/>
      <c r="H62" s="1"/>
      <c r="I62" s="2"/>
      <c r="J62" s="3">
        <v>44602</v>
      </c>
      <c r="K62" s="2" t="s">
        <v>21</v>
      </c>
      <c r="L62" s="4"/>
    </row>
    <row r="63" spans="2:15" x14ac:dyDescent="0.25">
      <c r="B63" s="5"/>
      <c r="D63" s="6"/>
      <c r="F63" s="7"/>
      <c r="H63" s="5"/>
      <c r="J63" s="6"/>
      <c r="L63" s="7"/>
      <c r="O63" t="s">
        <v>26</v>
      </c>
    </row>
    <row r="64" spans="2:15" x14ac:dyDescent="0.25">
      <c r="B64" s="5"/>
      <c r="C64" s="8" t="s">
        <v>0</v>
      </c>
      <c r="D64" s="9"/>
      <c r="E64" s="9"/>
      <c r="F64" s="10"/>
      <c r="H64" s="5"/>
      <c r="I64" s="8" t="s">
        <v>0</v>
      </c>
      <c r="J64" s="9"/>
      <c r="K64" s="9"/>
      <c r="L64" s="10"/>
      <c r="O64" t="s">
        <v>24</v>
      </c>
    </row>
    <row r="65" spans="2:15" x14ac:dyDescent="0.25">
      <c r="B65" s="5"/>
      <c r="C65" s="11" t="s">
        <v>1</v>
      </c>
      <c r="D65" s="12"/>
      <c r="E65" s="12"/>
      <c r="F65" s="13"/>
      <c r="H65" s="5"/>
      <c r="I65" s="11" t="s">
        <v>1</v>
      </c>
      <c r="J65" s="12"/>
      <c r="K65" s="12"/>
      <c r="L65" s="13"/>
      <c r="O65" t="s">
        <v>27</v>
      </c>
    </row>
    <row r="66" spans="2:15" x14ac:dyDescent="0.25">
      <c r="B66" s="5"/>
      <c r="C66" s="14"/>
      <c r="D66" t="s">
        <v>2</v>
      </c>
      <c r="F66" s="7" t="s">
        <v>3</v>
      </c>
      <c r="H66" s="5"/>
      <c r="I66" s="14"/>
      <c r="J66" t="s">
        <v>2</v>
      </c>
      <c r="L66" s="7" t="s">
        <v>3</v>
      </c>
      <c r="O66" t="s">
        <v>25</v>
      </c>
    </row>
    <row r="67" spans="2:15" x14ac:dyDescent="0.25">
      <c r="B67" s="5"/>
      <c r="C67" s="14" t="s">
        <v>4</v>
      </c>
      <c r="D67">
        <f>1461.789*25</f>
        <v>36544.724999999999</v>
      </c>
      <c r="F67" s="15">
        <f>0.01*25</f>
        <v>0.25</v>
      </c>
      <c r="H67" s="5"/>
      <c r="I67" s="14" t="s">
        <v>4</v>
      </c>
      <c r="J67">
        <f>1468.543*25</f>
        <v>36713.574999999997</v>
      </c>
      <c r="L67" s="15">
        <f>0.01*25</f>
        <v>0.25</v>
      </c>
    </row>
    <row r="68" spans="2:15" x14ac:dyDescent="0.25">
      <c r="B68" s="5"/>
      <c r="C68" s="14" t="s">
        <v>5</v>
      </c>
      <c r="D68">
        <f>342.87*25</f>
        <v>8571.75</v>
      </c>
      <c r="F68" s="15">
        <f>0.035*25</f>
        <v>0.87500000000000011</v>
      </c>
      <c r="H68" s="5"/>
      <c r="I68" s="14" t="s">
        <v>5</v>
      </c>
      <c r="J68">
        <f>342.9*25</f>
        <v>8572.5</v>
      </c>
      <c r="L68" s="15">
        <f>0.052*25</f>
        <v>1.3</v>
      </c>
    </row>
    <row r="69" spans="2:15" ht="15.75" thickBot="1" x14ac:dyDescent="0.3">
      <c r="B69" s="5"/>
      <c r="C69" s="16" t="s">
        <v>6</v>
      </c>
      <c r="D69">
        <f>336.199*25</f>
        <v>8404.9750000000004</v>
      </c>
      <c r="E69" s="17"/>
      <c r="F69" s="18">
        <f>0.052*25</f>
        <v>1.3</v>
      </c>
      <c r="H69" s="5"/>
      <c r="I69" s="16" t="s">
        <v>6</v>
      </c>
      <c r="J69">
        <f>336.201*25</f>
        <v>8405.0250000000015</v>
      </c>
      <c r="K69" s="17"/>
      <c r="L69" s="18">
        <f>0.035*25</f>
        <v>0.87500000000000011</v>
      </c>
    </row>
    <row r="70" spans="2:15" ht="15.75" thickBot="1" x14ac:dyDescent="0.3">
      <c r="B70" s="5"/>
      <c r="D70" s="19">
        <f>2140.858*25</f>
        <v>53521.450000000004</v>
      </c>
      <c r="F70" s="19">
        <f>0.097*25</f>
        <v>2.4250000000000003</v>
      </c>
      <c r="H70" s="5"/>
      <c r="J70" s="19">
        <f>2147.644*25</f>
        <v>53691.099999999991</v>
      </c>
      <c r="L70" s="19">
        <f>0.097*25</f>
        <v>2.4250000000000003</v>
      </c>
    </row>
    <row r="71" spans="2:15" x14ac:dyDescent="0.25">
      <c r="B71" s="5"/>
      <c r="C71" s="8" t="s">
        <v>7</v>
      </c>
      <c r="D71" s="12"/>
      <c r="E71" s="9"/>
      <c r="F71" s="10"/>
      <c r="H71" s="5"/>
      <c r="I71" s="8" t="s">
        <v>7</v>
      </c>
      <c r="J71" s="12"/>
      <c r="K71" s="9"/>
      <c r="L71" s="10"/>
    </row>
    <row r="72" spans="2:15" x14ac:dyDescent="0.25">
      <c r="B72" s="5"/>
      <c r="C72" s="11" t="s">
        <v>1</v>
      </c>
      <c r="D72" s="12"/>
      <c r="E72" s="12"/>
      <c r="F72" s="13"/>
      <c r="H72" s="5"/>
      <c r="I72" s="11" t="s">
        <v>1</v>
      </c>
      <c r="J72" s="12"/>
      <c r="K72" s="12"/>
      <c r="L72" s="13"/>
    </row>
    <row r="73" spans="2:15" x14ac:dyDescent="0.25">
      <c r="B73" s="5"/>
      <c r="C73" s="14"/>
      <c r="D73" t="s">
        <v>2</v>
      </c>
      <c r="F73" s="7" t="s">
        <v>3</v>
      </c>
      <c r="H73" s="5"/>
      <c r="I73" s="14"/>
      <c r="J73" t="s">
        <v>2</v>
      </c>
      <c r="L73" s="7" t="s">
        <v>3</v>
      </c>
    </row>
    <row r="74" spans="2:15" x14ac:dyDescent="0.25">
      <c r="B74" s="5"/>
      <c r="C74" s="14" t="s">
        <v>4</v>
      </c>
      <c r="D74">
        <f>0.633*25</f>
        <v>15.824999999999999</v>
      </c>
      <c r="F74" s="20">
        <f>262.467*25</f>
        <v>6561.6749999999993</v>
      </c>
      <c r="H74" s="5"/>
      <c r="I74" s="14" t="s">
        <v>4</v>
      </c>
      <c r="J74">
        <f>0.944*25</f>
        <v>23.599999999999998</v>
      </c>
      <c r="L74" s="20">
        <f>273.432*25</f>
        <v>6835.8</v>
      </c>
    </row>
    <row r="75" spans="2:15" x14ac:dyDescent="0.25">
      <c r="B75" s="5"/>
      <c r="C75" s="14" t="s">
        <v>5</v>
      </c>
      <c r="D75">
        <f>9.83*25</f>
        <v>245.75</v>
      </c>
      <c r="F75" s="21">
        <f>79.753*25</f>
        <v>1993.825</v>
      </c>
      <c r="H75" s="5"/>
      <c r="I75" s="14" t="s">
        <v>5</v>
      </c>
      <c r="J75">
        <f>9.83*25</f>
        <v>245.75</v>
      </c>
      <c r="L75" s="21">
        <f>81.833*25</f>
        <v>2045.825</v>
      </c>
    </row>
    <row r="76" spans="2:15" ht="15.75" thickBot="1" x14ac:dyDescent="0.3">
      <c r="B76" s="5"/>
      <c r="C76" s="16" t="s">
        <v>6</v>
      </c>
      <c r="D76">
        <f>12.472*25</f>
        <v>311.8</v>
      </c>
      <c r="E76" s="17"/>
      <c r="F76" s="21">
        <f>66.147*25</f>
        <v>1653.6750000000002</v>
      </c>
      <c r="H76" s="5"/>
      <c r="I76" s="16" t="s">
        <v>6</v>
      </c>
      <c r="J76">
        <f>12.472*25</f>
        <v>311.8</v>
      </c>
      <c r="K76" s="17"/>
      <c r="L76" s="21">
        <f>67.243*25</f>
        <v>1681.0749999999998</v>
      </c>
    </row>
    <row r="77" spans="2:15" ht="15.75" thickBot="1" x14ac:dyDescent="0.3">
      <c r="B77" s="5"/>
      <c r="D77" s="19">
        <f>22.935*25</f>
        <v>573.375</v>
      </c>
      <c r="F77" s="19">
        <f>408.36725*25</f>
        <v>10209.18125</v>
      </c>
      <c r="H77" s="5"/>
      <c r="J77" s="19">
        <f>23.246*25</f>
        <v>581.15</v>
      </c>
      <c r="L77" s="19">
        <f>422.508*25</f>
        <v>10562.699999999999</v>
      </c>
    </row>
    <row r="78" spans="2:15" x14ac:dyDescent="0.25">
      <c r="B78" s="22" t="s">
        <v>8</v>
      </c>
      <c r="C78" s="23"/>
      <c r="D78" s="23"/>
      <c r="E78" s="23">
        <f>D70-J50</f>
        <v>166.42500000000291</v>
      </c>
      <c r="F78" s="7"/>
      <c r="H78" s="22" t="s">
        <v>8</v>
      </c>
      <c r="I78" s="23"/>
      <c r="J78" s="23"/>
      <c r="K78" s="23">
        <f>J70-D70</f>
        <v>169.6499999999869</v>
      </c>
      <c r="L78" s="7"/>
    </row>
    <row r="79" spans="2:15" ht="15.75" thickBot="1" x14ac:dyDescent="0.3">
      <c r="B79" s="24" t="s">
        <v>9</v>
      </c>
      <c r="C79" s="25"/>
      <c r="D79" s="25"/>
      <c r="E79" s="25">
        <f>F77-L57</f>
        <v>422.68124999999964</v>
      </c>
      <c r="F79" s="26"/>
      <c r="H79" s="24" t="s">
        <v>9</v>
      </c>
      <c r="I79" s="25"/>
      <c r="J79" s="25"/>
      <c r="K79" s="25">
        <f>L77-F77</f>
        <v>353.51874999999927</v>
      </c>
      <c r="L79" s="26"/>
    </row>
    <row r="80" spans="2:15" x14ac:dyDescent="0.25">
      <c r="B80" s="27" t="s">
        <v>10</v>
      </c>
      <c r="C80" s="27"/>
      <c r="D80" s="27"/>
      <c r="E80" s="27">
        <f>D77-J57</f>
        <v>3.4750000000000227</v>
      </c>
      <c r="H80" s="27" t="s">
        <v>10</v>
      </c>
      <c r="I80" s="27"/>
      <c r="J80" s="27"/>
      <c r="K80" s="27">
        <f>J77-D77</f>
        <v>7.7749999999999773</v>
      </c>
    </row>
    <row r="81" spans="2:15" ht="15.75" thickBot="1" x14ac:dyDescent="0.3"/>
    <row r="82" spans="2:15" x14ac:dyDescent="0.25">
      <c r="B82" s="1"/>
      <c r="C82" s="2"/>
      <c r="D82" s="3">
        <v>44603</v>
      </c>
      <c r="E82" s="2" t="s">
        <v>29</v>
      </c>
      <c r="F82" s="4"/>
      <c r="H82" s="1"/>
      <c r="I82" s="2"/>
      <c r="J82" s="3">
        <v>44606</v>
      </c>
      <c r="K82" s="2" t="s">
        <v>21</v>
      </c>
      <c r="L82" s="4"/>
    </row>
    <row r="83" spans="2:15" x14ac:dyDescent="0.25">
      <c r="B83" s="5"/>
      <c r="D83" s="6"/>
      <c r="F83" s="7"/>
      <c r="H83" s="5"/>
      <c r="J83" s="6"/>
      <c r="L83" s="7"/>
      <c r="O83" t="s">
        <v>33</v>
      </c>
    </row>
    <row r="84" spans="2:15" x14ac:dyDescent="0.25">
      <c r="B84" s="5"/>
      <c r="C84" s="8" t="s">
        <v>0</v>
      </c>
      <c r="D84" s="9"/>
      <c r="E84" s="9"/>
      <c r="F84" s="10"/>
      <c r="H84" s="5"/>
      <c r="I84" s="8" t="s">
        <v>0</v>
      </c>
      <c r="J84" s="9"/>
      <c r="K84" s="9"/>
      <c r="L84" s="10"/>
      <c r="O84" t="s">
        <v>30</v>
      </c>
    </row>
    <row r="85" spans="2:15" x14ac:dyDescent="0.25">
      <c r="B85" s="5"/>
      <c r="C85" s="11" t="s">
        <v>1</v>
      </c>
      <c r="D85" s="12"/>
      <c r="E85" s="12"/>
      <c r="F85" s="13"/>
      <c r="H85" s="5"/>
      <c r="I85" s="11" t="s">
        <v>1</v>
      </c>
      <c r="J85" s="12"/>
      <c r="K85" s="12"/>
      <c r="L85" s="13"/>
      <c r="O85" t="s">
        <v>32</v>
      </c>
    </row>
    <row r="86" spans="2:15" x14ac:dyDescent="0.25">
      <c r="B86" s="5"/>
      <c r="C86" s="14"/>
      <c r="D86" t="s">
        <v>2</v>
      </c>
      <c r="F86" s="7" t="s">
        <v>3</v>
      </c>
      <c r="H86" s="5"/>
      <c r="I86" s="14"/>
      <c r="J86" t="s">
        <v>2</v>
      </c>
      <c r="L86" s="7" t="s">
        <v>3</v>
      </c>
      <c r="O86" t="s">
        <v>31</v>
      </c>
    </row>
    <row r="87" spans="2:15" x14ac:dyDescent="0.25">
      <c r="B87" s="5"/>
      <c r="C87" s="14" t="s">
        <v>4</v>
      </c>
      <c r="D87">
        <f>1477.598*25</f>
        <v>36939.949999999997</v>
      </c>
      <c r="F87" s="15">
        <f>0.01*25</f>
        <v>0.25</v>
      </c>
      <c r="H87" s="5"/>
      <c r="I87" s="14" t="s">
        <v>4</v>
      </c>
      <c r="J87">
        <f>1481.138*25</f>
        <v>37028.449999999997</v>
      </c>
      <c r="L87" s="15">
        <f>0.01*25</f>
        <v>0.25</v>
      </c>
    </row>
    <row r="88" spans="2:15" x14ac:dyDescent="0.25">
      <c r="B88" s="5"/>
      <c r="C88" s="14" t="s">
        <v>5</v>
      </c>
      <c r="D88">
        <f>342.932*25</f>
        <v>8573.3000000000011</v>
      </c>
      <c r="F88" s="15">
        <f>0.035*25</f>
        <v>0.87500000000000011</v>
      </c>
      <c r="H88" s="5"/>
      <c r="I88" s="14" t="s">
        <v>5</v>
      </c>
      <c r="J88">
        <f>348.665*25</f>
        <v>8716.625</v>
      </c>
      <c r="L88" s="15">
        <f>0.035*25</f>
        <v>0.87500000000000011</v>
      </c>
    </row>
    <row r="89" spans="2:15" ht="15.75" thickBot="1" x14ac:dyDescent="0.3">
      <c r="B89" s="5"/>
      <c r="C89" s="16" t="s">
        <v>6</v>
      </c>
      <c r="D89">
        <f>336.203*25</f>
        <v>8405.0749999999989</v>
      </c>
      <c r="E89" s="17"/>
      <c r="F89" s="18">
        <f>0.052*25</f>
        <v>1.3</v>
      </c>
      <c r="H89" s="5"/>
      <c r="I89" s="16" t="s">
        <v>6</v>
      </c>
      <c r="J89">
        <f>340.589*25</f>
        <v>8514.7250000000004</v>
      </c>
      <c r="K89" s="17"/>
      <c r="L89" s="18">
        <f>0.054*25</f>
        <v>1.35</v>
      </c>
    </row>
    <row r="90" spans="2:15" ht="15.75" thickBot="1" x14ac:dyDescent="0.3">
      <c r="B90" s="5"/>
      <c r="D90" s="19">
        <f>2156.733*25</f>
        <v>53918.325000000004</v>
      </c>
      <c r="F90" s="19">
        <f>SUM(F87:F89)</f>
        <v>2.4249999999999998</v>
      </c>
      <c r="H90" s="5"/>
      <c r="J90" s="19">
        <f>2170.392*25</f>
        <v>54259.799999999996</v>
      </c>
      <c r="L90" s="19">
        <f>SUM(L87:L89)</f>
        <v>2.4750000000000001</v>
      </c>
    </row>
    <row r="91" spans="2:15" x14ac:dyDescent="0.25">
      <c r="B91" s="5"/>
      <c r="C91" s="8" t="s">
        <v>7</v>
      </c>
      <c r="D91" s="12"/>
      <c r="E91" s="9"/>
      <c r="F91" s="10"/>
      <c r="H91" s="5"/>
      <c r="I91" s="8" t="s">
        <v>7</v>
      </c>
      <c r="J91" s="12"/>
      <c r="K91" s="9"/>
      <c r="L91" s="10"/>
    </row>
    <row r="92" spans="2:15" x14ac:dyDescent="0.25">
      <c r="B92" s="5"/>
      <c r="C92" s="11" t="s">
        <v>1</v>
      </c>
      <c r="D92" s="12"/>
      <c r="E92" s="12"/>
      <c r="F92" s="13"/>
      <c r="H92" s="5"/>
      <c r="I92" s="11" t="s">
        <v>1</v>
      </c>
      <c r="J92" s="12"/>
      <c r="K92" s="12"/>
      <c r="L92" s="13"/>
    </row>
    <row r="93" spans="2:15" x14ac:dyDescent="0.25">
      <c r="B93" s="5"/>
      <c r="C93" s="14"/>
      <c r="D93" t="s">
        <v>2</v>
      </c>
      <c r="F93" s="7" t="s">
        <v>3</v>
      </c>
      <c r="H93" s="5"/>
      <c r="I93" s="14"/>
      <c r="J93" t="s">
        <v>2</v>
      </c>
      <c r="L93" s="7" t="s">
        <v>3</v>
      </c>
    </row>
    <row r="94" spans="2:15" x14ac:dyDescent="0.25">
      <c r="B94" s="5"/>
      <c r="C94" s="14" t="s">
        <v>4</v>
      </c>
      <c r="D94">
        <f>1.319*25</f>
        <v>32.975000000000001</v>
      </c>
      <c r="F94" s="20">
        <f>286.759*25</f>
        <v>7168.9750000000004</v>
      </c>
      <c r="H94" s="5"/>
      <c r="I94" s="14" t="s">
        <v>4</v>
      </c>
      <c r="J94">
        <f>1.915*25</f>
        <v>47.875</v>
      </c>
      <c r="L94" s="20">
        <f>291.475*25</f>
        <v>7286.8750000000009</v>
      </c>
    </row>
    <row r="95" spans="2:15" x14ac:dyDescent="0.25">
      <c r="B95" s="5"/>
      <c r="C95" s="14" t="s">
        <v>5</v>
      </c>
      <c r="D95">
        <f>9.83*25</f>
        <v>245.75</v>
      </c>
      <c r="F95" s="21">
        <f>83.826*25</f>
        <v>2095.6499999999996</v>
      </c>
      <c r="H95" s="5"/>
      <c r="I95" s="14" t="s">
        <v>5</v>
      </c>
      <c r="J95">
        <f>14.601*25</f>
        <v>365.02500000000003</v>
      </c>
      <c r="L95" s="21">
        <f>86.901*25</f>
        <v>2172.5250000000001</v>
      </c>
    </row>
    <row r="96" spans="2:15" ht="15.75" thickBot="1" x14ac:dyDescent="0.3">
      <c r="B96" s="5"/>
      <c r="C96" s="16" t="s">
        <v>6</v>
      </c>
      <c r="D96">
        <f>12.472*25</f>
        <v>311.8</v>
      </c>
      <c r="E96" s="17"/>
      <c r="F96" s="21">
        <f>68.335*25</f>
        <v>1708.3749999999998</v>
      </c>
      <c r="H96" s="5"/>
      <c r="I96" s="16" t="s">
        <v>6</v>
      </c>
      <c r="J96">
        <f>16.287*25</f>
        <v>407.17499999999995</v>
      </c>
      <c r="K96" s="17"/>
      <c r="L96" s="21">
        <f>73.334*25</f>
        <v>1833.3500000000001</v>
      </c>
    </row>
    <row r="97" spans="2:15" ht="15.75" thickBot="1" x14ac:dyDescent="0.3">
      <c r="B97" s="5"/>
      <c r="D97" s="19">
        <f>SUM(D94:D96)</f>
        <v>590.52500000000009</v>
      </c>
      <c r="F97" s="19">
        <f>SUM(F94:F96)</f>
        <v>10973</v>
      </c>
      <c r="H97" s="5"/>
      <c r="J97" s="19">
        <f>SUM(J94:J96)</f>
        <v>820.07500000000005</v>
      </c>
      <c r="L97" s="19">
        <f>SUM(L94:L96)</f>
        <v>11292.750000000002</v>
      </c>
    </row>
    <row r="98" spans="2:15" x14ac:dyDescent="0.25">
      <c r="B98" s="22" t="s">
        <v>8</v>
      </c>
      <c r="C98" s="23"/>
      <c r="D98" s="23"/>
      <c r="E98" s="23">
        <f>D90-J70</f>
        <v>227.2250000000131</v>
      </c>
      <c r="F98" s="7"/>
      <c r="H98" s="22" t="s">
        <v>8</v>
      </c>
      <c r="I98" s="23"/>
      <c r="J98" s="23"/>
      <c r="K98" s="23">
        <f>J90-D90</f>
        <v>341.47499999999127</v>
      </c>
      <c r="L98" s="7"/>
    </row>
    <row r="99" spans="2:15" ht="15.75" thickBot="1" x14ac:dyDescent="0.3">
      <c r="B99" s="24" t="s">
        <v>9</v>
      </c>
      <c r="C99" s="25"/>
      <c r="D99" s="25"/>
      <c r="E99" s="25">
        <f>F97-L77</f>
        <v>410.30000000000109</v>
      </c>
      <c r="F99" s="26"/>
      <c r="H99" s="24" t="s">
        <v>9</v>
      </c>
      <c r="I99" s="25"/>
      <c r="J99" s="25"/>
      <c r="K99" s="25">
        <f>L97-F97</f>
        <v>319.75000000000182</v>
      </c>
      <c r="L99" s="26"/>
    </row>
    <row r="100" spans="2:15" x14ac:dyDescent="0.25">
      <c r="B100" s="27" t="s">
        <v>10</v>
      </c>
      <c r="C100" s="27"/>
      <c r="D100" s="27"/>
      <c r="E100" s="27">
        <f>D97-J77</f>
        <v>9.3750000000001137</v>
      </c>
      <c r="H100" s="27" t="s">
        <v>10</v>
      </c>
      <c r="I100" s="27"/>
      <c r="J100" s="27"/>
      <c r="K100" s="27">
        <f>J97-D97</f>
        <v>229.54999999999995</v>
      </c>
    </row>
    <row r="101" spans="2:15" ht="15.75" thickBot="1" x14ac:dyDescent="0.3"/>
    <row r="102" spans="2:15" x14ac:dyDescent="0.25">
      <c r="B102" s="1"/>
      <c r="C102" s="2"/>
      <c r="D102" s="3">
        <v>44607</v>
      </c>
      <c r="E102" s="2" t="s">
        <v>34</v>
      </c>
      <c r="F102" s="4"/>
      <c r="H102" s="1"/>
      <c r="I102" s="2"/>
      <c r="J102" s="3">
        <v>44608</v>
      </c>
      <c r="K102" s="2"/>
      <c r="L102" s="4"/>
    </row>
    <row r="103" spans="2:15" x14ac:dyDescent="0.25">
      <c r="B103" s="5"/>
      <c r="D103" s="6"/>
      <c r="F103" s="7"/>
      <c r="H103" s="5"/>
      <c r="J103" s="6"/>
      <c r="L103" s="7"/>
      <c r="O103" t="s">
        <v>35</v>
      </c>
    </row>
    <row r="104" spans="2:15" x14ac:dyDescent="0.25">
      <c r="B104" s="5"/>
      <c r="C104" s="8" t="s">
        <v>0</v>
      </c>
      <c r="D104" s="9"/>
      <c r="E104" s="9"/>
      <c r="F104" s="10"/>
      <c r="H104" s="5"/>
      <c r="I104" s="8" t="s">
        <v>0</v>
      </c>
      <c r="J104" s="9"/>
      <c r="K104" s="9"/>
      <c r="L104" s="10"/>
      <c r="O104" t="s">
        <v>36</v>
      </c>
    </row>
    <row r="105" spans="2:15" x14ac:dyDescent="0.25">
      <c r="B105" s="5"/>
      <c r="C105" s="11" t="s">
        <v>1</v>
      </c>
      <c r="D105" s="12"/>
      <c r="E105" s="12"/>
      <c r="F105" s="13"/>
      <c r="H105" s="5"/>
      <c r="I105" s="11" t="s">
        <v>1</v>
      </c>
      <c r="J105" s="12"/>
      <c r="K105" s="12"/>
      <c r="L105" s="13"/>
      <c r="O105" t="s">
        <v>38</v>
      </c>
    </row>
    <row r="106" spans="2:15" x14ac:dyDescent="0.25">
      <c r="B106" s="5"/>
      <c r="C106" s="14"/>
      <c r="D106" t="s">
        <v>2</v>
      </c>
      <c r="F106" s="7" t="s">
        <v>3</v>
      </c>
      <c r="H106" s="5"/>
      <c r="I106" s="14"/>
      <c r="J106" t="s">
        <v>2</v>
      </c>
      <c r="L106" s="7" t="s">
        <v>3</v>
      </c>
      <c r="O106" t="s">
        <v>37</v>
      </c>
    </row>
    <row r="107" spans="2:15" x14ac:dyDescent="0.25">
      <c r="B107" s="5"/>
      <c r="C107" s="14" t="s">
        <v>4</v>
      </c>
      <c r="D107">
        <f>1485.83*25</f>
        <v>37145.75</v>
      </c>
      <c r="F107" s="15">
        <f>0.01*25</f>
        <v>0.25</v>
      </c>
      <c r="H107" s="5"/>
      <c r="I107" s="14" t="s">
        <v>4</v>
      </c>
      <c r="J107">
        <f>1488.438*25</f>
        <v>37210.950000000004</v>
      </c>
      <c r="L107" s="15">
        <f>0.01*25</f>
        <v>0.25</v>
      </c>
    </row>
    <row r="108" spans="2:15" x14ac:dyDescent="0.25">
      <c r="B108" s="5"/>
      <c r="C108" s="14" t="s">
        <v>5</v>
      </c>
      <c r="D108">
        <f>348.674*25</f>
        <v>8716.8499999999985</v>
      </c>
      <c r="F108" s="15">
        <f>0.035*25</f>
        <v>0.87500000000000011</v>
      </c>
      <c r="H108" s="5"/>
      <c r="I108" s="14" t="s">
        <v>5</v>
      </c>
      <c r="J108">
        <f>348.71*25</f>
        <v>8717.75</v>
      </c>
      <c r="L108" s="15">
        <f>0.035*25</f>
        <v>0.87500000000000011</v>
      </c>
    </row>
    <row r="109" spans="2:15" ht="15.75" thickBot="1" x14ac:dyDescent="0.3">
      <c r="B109" s="5"/>
      <c r="C109" s="16" t="s">
        <v>6</v>
      </c>
      <c r="D109">
        <f>340.591*25</f>
        <v>8514.7749999999996</v>
      </c>
      <c r="E109" s="17"/>
      <c r="F109" s="18">
        <f>0.054*25</f>
        <v>1.35</v>
      </c>
      <c r="H109" s="5"/>
      <c r="I109" s="16" t="s">
        <v>6</v>
      </c>
      <c r="J109">
        <f>340.594*25</f>
        <v>8514.85</v>
      </c>
      <c r="K109" s="17"/>
      <c r="L109" s="18">
        <f>0.054*25</f>
        <v>1.35</v>
      </c>
    </row>
    <row r="110" spans="2:15" ht="15.75" thickBot="1" x14ac:dyDescent="0.3">
      <c r="B110" s="5"/>
      <c r="D110" s="19">
        <f>2175.095*25</f>
        <v>54377.374999999993</v>
      </c>
      <c r="F110" s="19">
        <f>SUM(F107:F109)</f>
        <v>2.4750000000000001</v>
      </c>
      <c r="H110" s="5"/>
      <c r="J110" s="19">
        <v>54443.55</v>
      </c>
      <c r="L110" s="19">
        <f>SUM(L107:L109)</f>
        <v>2.4750000000000001</v>
      </c>
    </row>
    <row r="111" spans="2:15" x14ac:dyDescent="0.25">
      <c r="B111" s="5"/>
      <c r="C111" s="8" t="s">
        <v>7</v>
      </c>
      <c r="D111" s="12"/>
      <c r="E111" s="9"/>
      <c r="F111" s="10"/>
      <c r="H111" s="5"/>
      <c r="I111" s="8" t="s">
        <v>7</v>
      </c>
      <c r="J111" s="12"/>
      <c r="K111" s="9"/>
      <c r="L111" s="10"/>
    </row>
    <row r="112" spans="2:15" x14ac:dyDescent="0.25">
      <c r="B112" s="5"/>
      <c r="C112" s="11" t="s">
        <v>1</v>
      </c>
      <c r="D112" s="12"/>
      <c r="E112" s="12"/>
      <c r="F112" s="13"/>
      <c r="H112" s="5"/>
      <c r="I112" s="11" t="s">
        <v>1</v>
      </c>
      <c r="J112" s="12"/>
      <c r="K112" s="12"/>
      <c r="L112" s="13"/>
    </row>
    <row r="113" spans="2:15" x14ac:dyDescent="0.25">
      <c r="B113" s="5"/>
      <c r="C113" s="14"/>
      <c r="D113" t="s">
        <v>2</v>
      </c>
      <c r="F113" s="7" t="s">
        <v>3</v>
      </c>
      <c r="H113" s="5"/>
      <c r="I113" s="14"/>
      <c r="J113" t="s">
        <v>2</v>
      </c>
      <c r="L113" s="7" t="s">
        <v>3</v>
      </c>
    </row>
    <row r="114" spans="2:15" x14ac:dyDescent="0.25">
      <c r="B114" s="5"/>
      <c r="C114" s="14" t="s">
        <v>4</v>
      </c>
      <c r="D114">
        <f>2.168*25</f>
        <v>54.2</v>
      </c>
      <c r="F114" s="20">
        <f>304.255*25</f>
        <v>7606.375</v>
      </c>
      <c r="H114" s="5"/>
      <c r="I114" s="14" t="s">
        <v>4</v>
      </c>
      <c r="J114">
        <f>2.335*25</f>
        <v>58.375</v>
      </c>
      <c r="L114" s="20">
        <f>310.615*25</f>
        <v>7765.375</v>
      </c>
    </row>
    <row r="115" spans="2:15" x14ac:dyDescent="0.25">
      <c r="B115" s="5"/>
      <c r="C115" s="14" t="s">
        <v>5</v>
      </c>
      <c r="D115">
        <f>14.601*25</f>
        <v>365.02500000000003</v>
      </c>
      <c r="F115" s="21">
        <f>89.771*25</f>
        <v>2244.2750000000001</v>
      </c>
      <c r="H115" s="5"/>
      <c r="I115" s="14" t="s">
        <v>5</v>
      </c>
      <c r="J115">
        <f>14.601*25</f>
        <v>365.02500000000003</v>
      </c>
      <c r="L115" s="21">
        <f>92.834*25</f>
        <v>2320.85</v>
      </c>
    </row>
    <row r="116" spans="2:15" ht="15.75" thickBot="1" x14ac:dyDescent="0.3">
      <c r="B116" s="5"/>
      <c r="C116" s="16" t="s">
        <v>6</v>
      </c>
      <c r="D116">
        <f>16.287*25</f>
        <v>407.17499999999995</v>
      </c>
      <c r="E116" s="17"/>
      <c r="F116" s="21">
        <f>76.223*25</f>
        <v>1905.575</v>
      </c>
      <c r="H116" s="5"/>
      <c r="I116" s="16" t="s">
        <v>6</v>
      </c>
      <c r="J116">
        <f>16.287*25</f>
        <v>407.17499999999995</v>
      </c>
      <c r="K116" s="17"/>
      <c r="L116" s="21">
        <f>77.395*25</f>
        <v>1934.875</v>
      </c>
    </row>
    <row r="117" spans="2:15" ht="15.75" thickBot="1" x14ac:dyDescent="0.3">
      <c r="B117" s="5"/>
      <c r="D117" s="19">
        <f>SUM(D114:D116)</f>
        <v>826.4</v>
      </c>
      <c r="F117" s="19">
        <f>SUM(F114:F116)</f>
        <v>11756.225</v>
      </c>
      <c r="H117" s="5"/>
      <c r="J117" s="19">
        <f>SUM(J114:J116)</f>
        <v>830.57500000000005</v>
      </c>
      <c r="L117" s="19">
        <f>SUM(L114:L116)</f>
        <v>12021.1</v>
      </c>
    </row>
    <row r="118" spans="2:15" x14ac:dyDescent="0.25">
      <c r="B118" s="22" t="s">
        <v>8</v>
      </c>
      <c r="C118" s="23"/>
      <c r="D118" s="23"/>
      <c r="E118" s="23">
        <f>D110-J90</f>
        <v>117.57499999999709</v>
      </c>
      <c r="F118" s="7"/>
      <c r="H118" s="22" t="s">
        <v>8</v>
      </c>
      <c r="I118" s="23"/>
      <c r="J118" s="23"/>
      <c r="K118" s="23">
        <f>J110-D110</f>
        <v>66.175000000010186</v>
      </c>
      <c r="L118" s="7"/>
    </row>
    <row r="119" spans="2:15" ht="15.75" thickBot="1" x14ac:dyDescent="0.3">
      <c r="B119" s="24" t="s">
        <v>9</v>
      </c>
      <c r="C119" s="25"/>
      <c r="D119" s="25"/>
      <c r="E119" s="25">
        <f>F117-L97</f>
        <v>463.47499999999854</v>
      </c>
      <c r="F119" s="26"/>
      <c r="H119" s="24" t="s">
        <v>9</v>
      </c>
      <c r="I119" s="25"/>
      <c r="J119" s="25"/>
      <c r="K119" s="25">
        <f>L117-F117</f>
        <v>264.875</v>
      </c>
      <c r="L119" s="26"/>
    </row>
    <row r="120" spans="2:15" x14ac:dyDescent="0.25">
      <c r="B120" s="27" t="s">
        <v>10</v>
      </c>
      <c r="C120" s="27"/>
      <c r="D120" s="27"/>
      <c r="E120" s="27">
        <f>D117-J97</f>
        <v>6.3249999999999318</v>
      </c>
      <c r="H120" s="27" t="s">
        <v>10</v>
      </c>
      <c r="I120" s="27"/>
      <c r="J120" s="27"/>
      <c r="K120" s="27">
        <f>J117-D117</f>
        <v>4.1750000000000682</v>
      </c>
    </row>
    <row r="121" spans="2:15" ht="15.75" thickBot="1" x14ac:dyDescent="0.3"/>
    <row r="122" spans="2:15" x14ac:dyDescent="0.25">
      <c r="B122" s="1"/>
      <c r="C122" s="2"/>
      <c r="D122" s="3">
        <v>44609</v>
      </c>
      <c r="E122" s="2"/>
      <c r="F122" s="4"/>
      <c r="H122" s="1"/>
      <c r="I122" s="2"/>
      <c r="J122" s="3">
        <v>44610</v>
      </c>
      <c r="K122" s="2"/>
      <c r="L122" s="4"/>
    </row>
    <row r="123" spans="2:15" x14ac:dyDescent="0.25">
      <c r="B123" s="5"/>
      <c r="D123" s="6"/>
      <c r="F123" s="7"/>
      <c r="H123" s="5"/>
      <c r="J123" s="6"/>
      <c r="L123" s="7"/>
      <c r="O123" t="s">
        <v>41</v>
      </c>
    </row>
    <row r="124" spans="2:15" x14ac:dyDescent="0.25">
      <c r="B124" s="5"/>
      <c r="C124" s="8" t="s">
        <v>0</v>
      </c>
      <c r="D124" s="9"/>
      <c r="E124" s="9"/>
      <c r="F124" s="10"/>
      <c r="H124" s="5"/>
      <c r="I124" s="8" t="s">
        <v>0</v>
      </c>
      <c r="J124" s="9"/>
      <c r="K124" s="9"/>
      <c r="L124" s="10"/>
      <c r="O124" t="s">
        <v>39</v>
      </c>
    </row>
    <row r="125" spans="2:15" x14ac:dyDescent="0.25">
      <c r="B125" s="5"/>
      <c r="C125" s="11" t="s">
        <v>1</v>
      </c>
      <c r="D125" s="12"/>
      <c r="E125" s="12"/>
      <c r="F125" s="13"/>
      <c r="H125" s="5"/>
      <c r="I125" s="11" t="s">
        <v>1</v>
      </c>
      <c r="J125" s="12"/>
      <c r="K125" s="12"/>
      <c r="L125" s="13"/>
      <c r="O125" t="s">
        <v>42</v>
      </c>
    </row>
    <row r="126" spans="2:15" x14ac:dyDescent="0.25">
      <c r="B126" s="5"/>
      <c r="C126" s="14"/>
      <c r="D126" t="s">
        <v>2</v>
      </c>
      <c r="F126" s="7" t="s">
        <v>3</v>
      </c>
      <c r="H126" s="5"/>
      <c r="I126" s="14"/>
      <c r="J126" t="s">
        <v>2</v>
      </c>
      <c r="L126" s="7" t="s">
        <v>3</v>
      </c>
      <c r="O126" t="s">
        <v>40</v>
      </c>
    </row>
    <row r="127" spans="2:15" x14ac:dyDescent="0.25">
      <c r="B127" s="5"/>
      <c r="C127" s="14" t="s">
        <v>4</v>
      </c>
      <c r="D127">
        <f>1493.443*25</f>
        <v>37336.074999999997</v>
      </c>
      <c r="F127" s="15">
        <f>0.01*25</f>
        <v>0.25</v>
      </c>
      <c r="H127" s="5"/>
      <c r="I127" s="14" t="s">
        <v>4</v>
      </c>
      <c r="J127">
        <f>1500.048*25</f>
        <v>37501.199999999997</v>
      </c>
      <c r="L127" s="15">
        <f>0.011*25</f>
        <v>0.27499999999999997</v>
      </c>
    </row>
    <row r="128" spans="2:15" x14ac:dyDescent="0.25">
      <c r="B128" s="5"/>
      <c r="C128" s="14" t="s">
        <v>5</v>
      </c>
      <c r="D128">
        <f>348.768*25</f>
        <v>8719.1999999999989</v>
      </c>
      <c r="F128" s="15">
        <f>0.035*25</f>
        <v>0.87500000000000011</v>
      </c>
      <c r="H128" s="5"/>
      <c r="I128" s="14" t="s">
        <v>5</v>
      </c>
      <c r="J128">
        <f>348.791*25</f>
        <v>8719.7749999999996</v>
      </c>
      <c r="L128" s="15">
        <f>0.054*25</f>
        <v>1.35</v>
      </c>
    </row>
    <row r="129" spans="2:15" ht="15.75" thickBot="1" x14ac:dyDescent="0.3">
      <c r="B129" s="5"/>
      <c r="C129" s="16" t="s">
        <v>6</v>
      </c>
      <c r="D129">
        <f>340.596*25</f>
        <v>8514.9</v>
      </c>
      <c r="E129" s="17"/>
      <c r="F129" s="18">
        <f>0.054*25</f>
        <v>1.35</v>
      </c>
      <c r="H129" s="5"/>
      <c r="I129" s="16" t="s">
        <v>6</v>
      </c>
      <c r="J129">
        <f>340.598*25</f>
        <v>8514.9500000000007</v>
      </c>
      <c r="K129" s="17"/>
      <c r="L129" s="18">
        <f>0.035*25</f>
        <v>0.87500000000000011</v>
      </c>
    </row>
    <row r="130" spans="2:15" ht="15.75" thickBot="1" x14ac:dyDescent="0.3">
      <c r="B130" s="5"/>
      <c r="D130" s="19">
        <v>54570.175000000003</v>
      </c>
      <c r="F130" s="19">
        <f>SUM(F127:F129)</f>
        <v>2.4750000000000001</v>
      </c>
      <c r="H130" s="5"/>
      <c r="J130" s="19">
        <v>54735.925000000003</v>
      </c>
      <c r="L130" s="19">
        <f>SUM(L127:L129)</f>
        <v>2.5</v>
      </c>
    </row>
    <row r="131" spans="2:15" x14ac:dyDescent="0.25">
      <c r="B131" s="5"/>
      <c r="C131" s="8" t="s">
        <v>7</v>
      </c>
      <c r="D131" s="12"/>
      <c r="E131" s="9"/>
      <c r="F131" s="10"/>
      <c r="H131" s="5"/>
      <c r="I131" s="8" t="s">
        <v>7</v>
      </c>
      <c r="J131" s="12"/>
      <c r="K131" s="9"/>
      <c r="L131" s="10"/>
    </row>
    <row r="132" spans="2:15" x14ac:dyDescent="0.25">
      <c r="B132" s="5"/>
      <c r="C132" s="11" t="s">
        <v>1</v>
      </c>
      <c r="D132" s="12"/>
      <c r="E132" s="12"/>
      <c r="F132" s="13"/>
      <c r="H132" s="5"/>
      <c r="I132" s="11" t="s">
        <v>1</v>
      </c>
      <c r="J132" s="12"/>
      <c r="K132" s="12"/>
      <c r="L132" s="13"/>
    </row>
    <row r="133" spans="2:15" x14ac:dyDescent="0.25">
      <c r="B133" s="5"/>
      <c r="C133" s="14"/>
      <c r="D133" t="s">
        <v>2</v>
      </c>
      <c r="F133" s="7" t="s">
        <v>3</v>
      </c>
      <c r="H133" s="5"/>
      <c r="I133" s="14"/>
      <c r="J133" t="s">
        <v>2</v>
      </c>
      <c r="L133" s="7" t="s">
        <v>3</v>
      </c>
    </row>
    <row r="134" spans="2:15" x14ac:dyDescent="0.25">
      <c r="B134" s="5"/>
      <c r="C134" s="14" t="s">
        <v>4</v>
      </c>
      <c r="D134">
        <f>2.962*25</f>
        <v>74.050000000000011</v>
      </c>
      <c r="F134" s="20">
        <f>317.28*25</f>
        <v>7931.9999999999991</v>
      </c>
      <c r="H134" s="5"/>
      <c r="I134" s="14" t="s">
        <v>4</v>
      </c>
      <c r="J134">
        <f>4.024*25</f>
        <v>100.6</v>
      </c>
      <c r="L134" s="20">
        <f>325.396*25</f>
        <v>8134.9000000000005</v>
      </c>
    </row>
    <row r="135" spans="2:15" x14ac:dyDescent="0.25">
      <c r="B135" s="5"/>
      <c r="C135" s="14" t="s">
        <v>5</v>
      </c>
      <c r="D135">
        <f>14.601*25</f>
        <v>365.02500000000003</v>
      </c>
      <c r="F135" s="21">
        <f>94.882*25</f>
        <v>2372.0500000000002</v>
      </c>
      <c r="H135" s="5"/>
      <c r="I135" s="14" t="s">
        <v>5</v>
      </c>
      <c r="J135">
        <f>14.601*25</f>
        <v>365.02500000000003</v>
      </c>
      <c r="L135" s="21">
        <f>99.662*25</f>
        <v>2491.5500000000002</v>
      </c>
    </row>
    <row r="136" spans="2:15" ht="15.75" thickBot="1" x14ac:dyDescent="0.3">
      <c r="B136" s="5"/>
      <c r="C136" s="16" t="s">
        <v>6</v>
      </c>
      <c r="D136">
        <f>16.287*25</f>
        <v>407.17499999999995</v>
      </c>
      <c r="E136" s="17"/>
      <c r="F136" s="21">
        <f>78.605*25</f>
        <v>1965.125</v>
      </c>
      <c r="H136" s="5"/>
      <c r="I136" s="16" t="s">
        <v>6</v>
      </c>
      <c r="J136">
        <f>16.287*25</f>
        <v>407.17499999999995</v>
      </c>
      <c r="K136" s="17"/>
      <c r="L136" s="21">
        <f>83.514*25</f>
        <v>2087.85</v>
      </c>
    </row>
    <row r="137" spans="2:15" ht="15.75" thickBot="1" x14ac:dyDescent="0.3">
      <c r="B137" s="5"/>
      <c r="D137" s="19">
        <f>SUM(D134:D136)</f>
        <v>846.25</v>
      </c>
      <c r="F137" s="19">
        <f>SUM(F134:F136)</f>
        <v>12269.174999999999</v>
      </c>
      <c r="H137" s="5"/>
      <c r="J137" s="19">
        <f>SUM(J134:J136)</f>
        <v>872.8</v>
      </c>
      <c r="L137" s="19">
        <f>SUM(L134:L136)</f>
        <v>12714.300000000001</v>
      </c>
    </row>
    <row r="138" spans="2:15" x14ac:dyDescent="0.25">
      <c r="B138" s="22" t="s">
        <v>8</v>
      </c>
      <c r="C138" s="23"/>
      <c r="D138" s="23"/>
      <c r="E138" s="23">
        <f>D130-J110</f>
        <v>126.625</v>
      </c>
      <c r="F138" s="7"/>
      <c r="H138" s="22" t="s">
        <v>8</v>
      </c>
      <c r="I138" s="23"/>
      <c r="J138" s="23"/>
      <c r="K138" s="23">
        <f>J130-D130</f>
        <v>165.75</v>
      </c>
      <c r="L138" s="7"/>
    </row>
    <row r="139" spans="2:15" ht="15.75" thickBot="1" x14ac:dyDescent="0.3">
      <c r="B139" s="24" t="s">
        <v>9</v>
      </c>
      <c r="C139" s="25"/>
      <c r="D139" s="25"/>
      <c r="E139" s="25">
        <f>F137-L117</f>
        <v>248.07499999999891</v>
      </c>
      <c r="F139" s="26"/>
      <c r="H139" s="24" t="s">
        <v>9</v>
      </c>
      <c r="I139" s="25"/>
      <c r="J139" s="25"/>
      <c r="K139" s="25">
        <f>L137-F137</f>
        <v>445.12500000000182</v>
      </c>
      <c r="L139" s="26"/>
    </row>
    <row r="140" spans="2:15" x14ac:dyDescent="0.25">
      <c r="B140" s="27" t="s">
        <v>10</v>
      </c>
      <c r="C140" s="27"/>
      <c r="D140" s="27"/>
      <c r="E140" s="27">
        <f>D137-J117</f>
        <v>15.674999999999955</v>
      </c>
      <c r="H140" s="27" t="s">
        <v>10</v>
      </c>
      <c r="I140" s="27"/>
      <c r="J140" s="27"/>
      <c r="K140" s="27">
        <f>J137-D137</f>
        <v>26.549999999999955</v>
      </c>
    </row>
    <row r="141" spans="2:15" ht="15.75" thickBot="1" x14ac:dyDescent="0.3"/>
    <row r="142" spans="2:15" x14ac:dyDescent="0.25">
      <c r="B142" s="1"/>
      <c r="C142" s="2"/>
      <c r="D142" s="3">
        <v>44613</v>
      </c>
      <c r="E142" s="2"/>
      <c r="F142" s="4"/>
      <c r="H142" s="1"/>
      <c r="I142" s="2"/>
      <c r="J142" s="3">
        <v>44614</v>
      </c>
      <c r="K142" s="2"/>
      <c r="L142" s="4"/>
    </row>
    <row r="143" spans="2:15" x14ac:dyDescent="0.25">
      <c r="B143" s="5"/>
      <c r="D143" s="6"/>
      <c r="F143" s="7"/>
      <c r="H143" s="5"/>
      <c r="J143" s="6"/>
      <c r="L143" s="7"/>
      <c r="O143" t="s">
        <v>45</v>
      </c>
    </row>
    <row r="144" spans="2:15" x14ac:dyDescent="0.25">
      <c r="B144" s="5"/>
      <c r="C144" s="8" t="s">
        <v>0</v>
      </c>
      <c r="D144" s="9"/>
      <c r="E144" s="9"/>
      <c r="F144" s="10"/>
      <c r="H144" s="5"/>
      <c r="I144" s="8" t="s">
        <v>0</v>
      </c>
      <c r="J144" s="9"/>
      <c r="K144" s="9"/>
      <c r="L144" s="10"/>
      <c r="O144" t="s">
        <v>43</v>
      </c>
    </row>
    <row r="145" spans="2:15" x14ac:dyDescent="0.25">
      <c r="B145" s="5"/>
      <c r="C145" s="11" t="s">
        <v>1</v>
      </c>
      <c r="D145" s="12"/>
      <c r="E145" s="12"/>
      <c r="F145" s="13"/>
      <c r="H145" s="5"/>
      <c r="I145" s="11" t="s">
        <v>1</v>
      </c>
      <c r="J145" s="12"/>
      <c r="K145" s="12"/>
      <c r="L145" s="13"/>
      <c r="O145" t="s">
        <v>46</v>
      </c>
    </row>
    <row r="146" spans="2:15" x14ac:dyDescent="0.25">
      <c r="B146" s="5"/>
      <c r="C146" s="14"/>
      <c r="D146" t="s">
        <v>2</v>
      </c>
      <c r="F146" s="7" t="s">
        <v>3</v>
      </c>
      <c r="H146" s="5"/>
      <c r="I146" s="14"/>
      <c r="J146" t="s">
        <v>2</v>
      </c>
      <c r="L146" s="7" t="s">
        <v>3</v>
      </c>
      <c r="O146" t="s">
        <v>44</v>
      </c>
    </row>
    <row r="147" spans="2:15" x14ac:dyDescent="0.25">
      <c r="B147" s="5"/>
      <c r="C147" s="14" t="s">
        <v>4</v>
      </c>
      <c r="D147">
        <f>1503.471*25</f>
        <v>37586.775000000001</v>
      </c>
      <c r="F147" s="15">
        <f>0.011*25</f>
        <v>0.27499999999999997</v>
      </c>
      <c r="H147" s="5"/>
      <c r="I147" s="14" t="s">
        <v>4</v>
      </c>
      <c r="J147">
        <f>1505.296*25</f>
        <v>37632.400000000001</v>
      </c>
      <c r="L147" s="15">
        <f>0.011*25</f>
        <v>0.27499999999999997</v>
      </c>
    </row>
    <row r="148" spans="2:15" x14ac:dyDescent="0.25">
      <c r="B148" s="5"/>
      <c r="C148" s="14" t="s">
        <v>5</v>
      </c>
      <c r="D148">
        <f>354.306*25</f>
        <v>8857.65</v>
      </c>
      <c r="F148" s="15">
        <f>0.036*25</f>
        <v>0.89999999999999991</v>
      </c>
      <c r="H148" s="5"/>
      <c r="I148" s="14" t="s">
        <v>5</v>
      </c>
      <c r="J148">
        <f>354.341*25</f>
        <v>8858.5249999999996</v>
      </c>
      <c r="L148" s="15">
        <f>0.036*25</f>
        <v>0.89999999999999991</v>
      </c>
    </row>
    <row r="149" spans="2:15" ht="15.75" thickBot="1" x14ac:dyDescent="0.3">
      <c r="B149" s="5"/>
      <c r="C149" s="16" t="s">
        <v>6</v>
      </c>
      <c r="D149">
        <f>344.911*25</f>
        <v>8622.7749999999996</v>
      </c>
      <c r="E149" s="17"/>
      <c r="F149" s="18">
        <f>0.055*25</f>
        <v>1.375</v>
      </c>
      <c r="H149" s="5"/>
      <c r="I149" s="16" t="s">
        <v>6</v>
      </c>
      <c r="J149">
        <f>344.913*25</f>
        <v>8622.8250000000007</v>
      </c>
      <c r="K149" s="17"/>
      <c r="L149" s="18">
        <f>0.055*25</f>
        <v>1.375</v>
      </c>
    </row>
    <row r="150" spans="2:15" ht="15.75" thickBot="1" x14ac:dyDescent="0.3">
      <c r="B150" s="5"/>
      <c r="D150" s="19">
        <v>55067.199999999997</v>
      </c>
      <c r="F150" s="19">
        <f>SUM(F147:F149)</f>
        <v>2.5499999999999998</v>
      </c>
      <c r="H150" s="5"/>
      <c r="J150" s="19">
        <v>55113.75</v>
      </c>
      <c r="L150" s="19">
        <f>SUM(L147:L149)</f>
        <v>2.5499999999999998</v>
      </c>
    </row>
    <row r="151" spans="2:15" x14ac:dyDescent="0.25">
      <c r="B151" s="5"/>
      <c r="C151" s="8" t="s">
        <v>7</v>
      </c>
      <c r="D151" s="12"/>
      <c r="E151" s="9"/>
      <c r="F151" s="10"/>
      <c r="H151" s="5"/>
      <c r="I151" s="8" t="s">
        <v>7</v>
      </c>
      <c r="J151" s="12"/>
      <c r="K151" s="9"/>
      <c r="L151" s="10"/>
    </row>
    <row r="152" spans="2:15" x14ac:dyDescent="0.25">
      <c r="B152" s="5"/>
      <c r="C152" s="11" t="s">
        <v>1</v>
      </c>
      <c r="D152" s="12"/>
      <c r="E152" s="12"/>
      <c r="F152" s="13"/>
      <c r="H152" s="5"/>
      <c r="I152" s="11" t="s">
        <v>1</v>
      </c>
      <c r="J152" s="12"/>
      <c r="K152" s="12"/>
      <c r="L152" s="13"/>
    </row>
    <row r="153" spans="2:15" x14ac:dyDescent="0.25">
      <c r="B153" s="5"/>
      <c r="C153" s="14"/>
      <c r="D153" t="s">
        <v>2</v>
      </c>
      <c r="F153" s="7" t="s">
        <v>3</v>
      </c>
      <c r="H153" s="5"/>
      <c r="I153" s="14"/>
      <c r="J153" t="s">
        <v>2</v>
      </c>
      <c r="L153" s="7" t="s">
        <v>3</v>
      </c>
    </row>
    <row r="154" spans="2:15" x14ac:dyDescent="0.25">
      <c r="B154" s="5"/>
      <c r="C154" s="14" t="s">
        <v>4</v>
      </c>
      <c r="D154">
        <f>4.541*25</f>
        <v>113.52500000000001</v>
      </c>
      <c r="F154" s="20">
        <f>329.07*25</f>
        <v>8226.75</v>
      </c>
      <c r="H154" s="5"/>
      <c r="I154" s="14" t="s">
        <v>4</v>
      </c>
      <c r="J154">
        <f>4.582*25</f>
        <v>114.55</v>
      </c>
      <c r="L154" s="20">
        <f>342.648*25</f>
        <v>8566.2000000000007</v>
      </c>
    </row>
    <row r="155" spans="2:15" x14ac:dyDescent="0.25">
      <c r="B155" s="5"/>
      <c r="C155" s="14" t="s">
        <v>5</v>
      </c>
      <c r="D155">
        <f>19.424*25</f>
        <v>485.59999999999997</v>
      </c>
      <c r="F155" s="21">
        <f>103.106*25</f>
        <v>2577.6499999999996</v>
      </c>
      <c r="H155" s="5"/>
      <c r="I155" s="14" t="s">
        <v>5</v>
      </c>
      <c r="J155">
        <f>19.424*25</f>
        <v>485.59999999999997</v>
      </c>
      <c r="L155" s="21">
        <f>108.317*25</f>
        <v>2707.9249999999997</v>
      </c>
    </row>
    <row r="156" spans="2:15" ht="15.75" thickBot="1" x14ac:dyDescent="0.3">
      <c r="B156" s="5"/>
      <c r="C156" s="16" t="s">
        <v>6</v>
      </c>
      <c r="D156">
        <f>20.027*25</f>
        <v>500.67500000000001</v>
      </c>
      <c r="E156" s="17"/>
      <c r="F156" s="21">
        <f>87.693*25</f>
        <v>2192.3249999999998</v>
      </c>
      <c r="H156" s="5"/>
      <c r="I156" s="16" t="s">
        <v>6</v>
      </c>
      <c r="J156">
        <f>20.027*25</f>
        <v>500.67500000000001</v>
      </c>
      <c r="K156" s="17"/>
      <c r="L156" s="21">
        <f>92.135*25</f>
        <v>2303.375</v>
      </c>
    </row>
    <row r="157" spans="2:15" ht="15.75" thickBot="1" x14ac:dyDescent="0.3">
      <c r="B157" s="5"/>
      <c r="D157" s="19">
        <f>SUM(D154:D156)</f>
        <v>1099.8</v>
      </c>
      <c r="F157" s="19">
        <f>SUM(F154:F156)</f>
        <v>12996.724999999999</v>
      </c>
      <c r="H157" s="5"/>
      <c r="J157" s="19">
        <f>SUM(J154:J156)</f>
        <v>1100.825</v>
      </c>
      <c r="L157" s="19">
        <f>SUM(L154:L156)</f>
        <v>13577.5</v>
      </c>
    </row>
    <row r="158" spans="2:15" x14ac:dyDescent="0.25">
      <c r="B158" s="22" t="s">
        <v>8</v>
      </c>
      <c r="C158" s="23"/>
      <c r="D158" s="23"/>
      <c r="E158" s="23">
        <f>D150-J130</f>
        <v>331.27499999999418</v>
      </c>
      <c r="F158" s="7"/>
      <c r="H158" s="22" t="s">
        <v>8</v>
      </c>
      <c r="I158" s="23"/>
      <c r="J158" s="23"/>
      <c r="K158" s="23">
        <f>J150-D150</f>
        <v>46.55000000000291</v>
      </c>
      <c r="L158" s="7"/>
    </row>
    <row r="159" spans="2:15" ht="15.75" thickBot="1" x14ac:dyDescent="0.3">
      <c r="B159" s="24" t="s">
        <v>9</v>
      </c>
      <c r="C159" s="25"/>
      <c r="D159" s="25"/>
      <c r="E159" s="25">
        <f>F157-L137</f>
        <v>282.42499999999745</v>
      </c>
      <c r="F159" s="26"/>
      <c r="H159" s="24" t="s">
        <v>9</v>
      </c>
      <c r="I159" s="25"/>
      <c r="J159" s="25"/>
      <c r="K159" s="25">
        <f>L157-F157</f>
        <v>580.77500000000146</v>
      </c>
      <c r="L159" s="26"/>
    </row>
    <row r="160" spans="2:15" x14ac:dyDescent="0.25">
      <c r="B160" s="27" t="s">
        <v>10</v>
      </c>
      <c r="C160" s="27"/>
      <c r="D160" s="27"/>
      <c r="E160" s="27">
        <f>D157-J137</f>
        <v>227</v>
      </c>
      <c r="H160" s="27" t="s">
        <v>10</v>
      </c>
      <c r="I160" s="27"/>
      <c r="J160" s="27"/>
      <c r="K160" s="27">
        <f>J157-D157</f>
        <v>1.0250000000000909</v>
      </c>
    </row>
    <row r="161" spans="2:15" ht="15.75" thickBot="1" x14ac:dyDescent="0.3"/>
    <row r="162" spans="2:15" x14ac:dyDescent="0.25">
      <c r="B162" s="1"/>
      <c r="C162" s="2"/>
      <c r="D162" s="3">
        <v>44615</v>
      </c>
      <c r="E162" s="2"/>
      <c r="F162" s="4"/>
      <c r="H162" s="1"/>
      <c r="I162" s="2"/>
      <c r="J162" s="3">
        <v>44616</v>
      </c>
      <c r="K162" s="2"/>
      <c r="L162" s="4"/>
    </row>
    <row r="163" spans="2:15" x14ac:dyDescent="0.25">
      <c r="B163" s="5"/>
      <c r="D163" s="6"/>
      <c r="F163" s="7"/>
      <c r="H163" s="5"/>
      <c r="J163" s="6"/>
      <c r="L163" s="7"/>
      <c r="O163" t="s">
        <v>50</v>
      </c>
    </row>
    <row r="164" spans="2:15" x14ac:dyDescent="0.25">
      <c r="B164" s="5"/>
      <c r="C164" s="8" t="s">
        <v>0</v>
      </c>
      <c r="D164" s="9"/>
      <c r="E164" s="9"/>
      <c r="F164" s="10"/>
      <c r="H164" s="5"/>
      <c r="I164" s="8" t="s">
        <v>0</v>
      </c>
      <c r="J164" s="9"/>
      <c r="K164" s="9"/>
      <c r="L164" s="10"/>
      <c r="O164" t="s">
        <v>48</v>
      </c>
    </row>
    <row r="165" spans="2:15" x14ac:dyDescent="0.25">
      <c r="B165" s="5"/>
      <c r="C165" s="11" t="s">
        <v>1</v>
      </c>
      <c r="D165" s="12"/>
      <c r="E165" s="12"/>
      <c r="F165" s="13"/>
      <c r="H165" s="5"/>
      <c r="I165" s="11" t="s">
        <v>1</v>
      </c>
      <c r="J165" s="12"/>
      <c r="K165" s="12"/>
      <c r="L165" s="13"/>
      <c r="O165" t="s">
        <v>51</v>
      </c>
    </row>
    <row r="166" spans="2:15" x14ac:dyDescent="0.25">
      <c r="B166" s="5"/>
      <c r="C166" s="14"/>
      <c r="D166" t="s">
        <v>2</v>
      </c>
      <c r="F166" s="7" t="s">
        <v>3</v>
      </c>
      <c r="H166" s="5"/>
      <c r="I166" s="14"/>
      <c r="J166" t="s">
        <v>2</v>
      </c>
      <c r="L166" s="7" t="s">
        <v>3</v>
      </c>
      <c r="O166" t="s">
        <v>49</v>
      </c>
    </row>
    <row r="167" spans="2:15" x14ac:dyDescent="0.25">
      <c r="B167" s="5"/>
      <c r="C167" s="14" t="s">
        <v>4</v>
      </c>
      <c r="D167">
        <f>1513.598*25</f>
        <v>37839.949999999997</v>
      </c>
      <c r="F167" s="15">
        <f>0.011*25</f>
        <v>0.27499999999999997</v>
      </c>
      <c r="H167" s="5"/>
      <c r="I167" s="14" t="s">
        <v>4</v>
      </c>
      <c r="J167">
        <f>1520.764*25</f>
        <v>38019.1</v>
      </c>
      <c r="L167" s="15">
        <f>0.011*25</f>
        <v>0.27499999999999997</v>
      </c>
    </row>
    <row r="168" spans="2:15" x14ac:dyDescent="0.25">
      <c r="B168" s="5"/>
      <c r="C168" s="14" t="s">
        <v>5</v>
      </c>
      <c r="D168">
        <f>354.384*25</f>
        <v>8859.6</v>
      </c>
      <c r="F168" s="15">
        <f>0.036*25</f>
        <v>0.89999999999999991</v>
      </c>
      <c r="H168" s="5"/>
      <c r="I168" s="14" t="s">
        <v>5</v>
      </c>
      <c r="J168">
        <f>354.453*25</f>
        <v>8861.3249999999989</v>
      </c>
      <c r="L168" s="15">
        <f>0.036*25</f>
        <v>0.89999999999999991</v>
      </c>
    </row>
    <row r="169" spans="2:15" ht="15.75" thickBot="1" x14ac:dyDescent="0.3">
      <c r="B169" s="5"/>
      <c r="C169" s="16" t="s">
        <v>6</v>
      </c>
      <c r="D169">
        <f>344.916*25</f>
        <v>8622.9</v>
      </c>
      <c r="E169" s="17"/>
      <c r="F169" s="18">
        <f>0.055*25</f>
        <v>1.375</v>
      </c>
      <c r="H169" s="5"/>
      <c r="I169" s="16" t="s">
        <v>6</v>
      </c>
      <c r="J169">
        <f>344.919*25</f>
        <v>8622.9750000000004</v>
      </c>
      <c r="K169" s="17"/>
      <c r="L169" s="18">
        <f>0.055*25</f>
        <v>1.375</v>
      </c>
    </row>
    <row r="170" spans="2:15" ht="15.75" thickBot="1" x14ac:dyDescent="0.3">
      <c r="B170" s="5"/>
      <c r="D170" s="19">
        <v>55322.45</v>
      </c>
      <c r="F170" s="19">
        <f>SUM(F167:F169)</f>
        <v>2.5499999999999998</v>
      </c>
      <c r="H170" s="5"/>
      <c r="J170" s="19">
        <v>55503.4</v>
      </c>
      <c r="L170" s="19">
        <f>SUM(L167:L169)</f>
        <v>2.5499999999999998</v>
      </c>
    </row>
    <row r="171" spans="2:15" x14ac:dyDescent="0.25">
      <c r="B171" s="5"/>
      <c r="C171" s="8" t="s">
        <v>7</v>
      </c>
      <c r="D171" s="12"/>
      <c r="E171" s="9"/>
      <c r="F171" s="10"/>
      <c r="H171" s="5"/>
      <c r="I171" s="8" t="s">
        <v>7</v>
      </c>
      <c r="J171" s="12"/>
      <c r="K171" s="9"/>
      <c r="L171" s="10"/>
    </row>
    <row r="172" spans="2:15" x14ac:dyDescent="0.25">
      <c r="B172" s="5"/>
      <c r="C172" s="11" t="s">
        <v>1</v>
      </c>
      <c r="D172" s="12"/>
      <c r="E172" s="12"/>
      <c r="F172" s="13"/>
      <c r="H172" s="5"/>
      <c r="I172" s="11" t="s">
        <v>1</v>
      </c>
      <c r="J172" s="12"/>
      <c r="K172" s="12"/>
      <c r="L172" s="13"/>
    </row>
    <row r="173" spans="2:15" x14ac:dyDescent="0.25">
      <c r="B173" s="5"/>
      <c r="C173" s="14"/>
      <c r="D173" t="s">
        <v>2</v>
      </c>
      <c r="F173" s="7" t="s">
        <v>3</v>
      </c>
      <c r="H173" s="5"/>
      <c r="I173" s="14"/>
      <c r="J173" t="s">
        <v>2</v>
      </c>
      <c r="L173" s="7" t="s">
        <v>3</v>
      </c>
    </row>
    <row r="174" spans="2:15" x14ac:dyDescent="0.25">
      <c r="B174" s="5"/>
      <c r="C174" s="14" t="s">
        <v>4</v>
      </c>
      <c r="D174">
        <f>5.97*25</f>
        <v>149.25</v>
      </c>
      <c r="F174" s="20">
        <f>347.59*25</f>
        <v>8689.75</v>
      </c>
      <c r="H174" s="5"/>
      <c r="I174" s="14" t="s">
        <v>4</v>
      </c>
      <c r="J174">
        <f>7.058*25</f>
        <v>176.45</v>
      </c>
      <c r="L174" s="20">
        <f>351.616*25</f>
        <v>8790.4</v>
      </c>
    </row>
    <row r="175" spans="2:15" x14ac:dyDescent="0.25">
      <c r="B175" s="5"/>
      <c r="C175" s="14" t="s">
        <v>5</v>
      </c>
      <c r="D175">
        <f>19.424*25</f>
        <v>485.59999999999997</v>
      </c>
      <c r="F175" s="21">
        <f>110.666*25</f>
        <v>2766.65</v>
      </c>
      <c r="H175" s="5"/>
      <c r="I175" s="14" t="s">
        <v>5</v>
      </c>
      <c r="J175">
        <f>19.424*25</f>
        <v>485.59999999999997</v>
      </c>
      <c r="L175" s="21">
        <f>112.909*25</f>
        <v>2822.7250000000004</v>
      </c>
    </row>
    <row r="176" spans="2:15" ht="15.75" thickBot="1" x14ac:dyDescent="0.3">
      <c r="B176" s="5"/>
      <c r="C176" s="16" t="s">
        <v>6</v>
      </c>
      <c r="D176">
        <f>20.027*25</f>
        <v>500.67500000000001</v>
      </c>
      <c r="E176" s="17"/>
      <c r="F176" s="21">
        <f>94.11*25</f>
        <v>2352.75</v>
      </c>
      <c r="H176" s="5"/>
      <c r="I176" s="16" t="s">
        <v>6</v>
      </c>
      <c r="J176">
        <f>20.027*25</f>
        <v>500.67500000000001</v>
      </c>
      <c r="K176" s="17"/>
      <c r="L176" s="21">
        <f>95.468*25</f>
        <v>2386.7000000000003</v>
      </c>
    </row>
    <row r="177" spans="2:15" ht="15.75" thickBot="1" x14ac:dyDescent="0.3">
      <c r="B177" s="5"/>
      <c r="D177" s="19">
        <f>SUM(D174:D176)</f>
        <v>1135.5249999999999</v>
      </c>
      <c r="F177" s="19">
        <f>SUM(F174:F176)</f>
        <v>13809.15</v>
      </c>
      <c r="H177" s="5"/>
      <c r="J177" s="19">
        <f>SUM(J174:J176)</f>
        <v>1162.7249999999999</v>
      </c>
      <c r="L177" s="19">
        <f>SUM(L174:L176)</f>
        <v>13999.825000000001</v>
      </c>
    </row>
    <row r="178" spans="2:15" x14ac:dyDescent="0.25">
      <c r="B178" s="22" t="s">
        <v>8</v>
      </c>
      <c r="C178" s="23"/>
      <c r="D178" s="23"/>
      <c r="E178" s="23">
        <f>D170-J150</f>
        <v>208.69999999999709</v>
      </c>
      <c r="F178" s="7"/>
      <c r="H178" s="22" t="s">
        <v>8</v>
      </c>
      <c r="I178" s="23"/>
      <c r="J178" s="23"/>
      <c r="K178" s="23">
        <f>J170-D170</f>
        <v>180.95000000000437</v>
      </c>
      <c r="L178" s="7"/>
    </row>
    <row r="179" spans="2:15" ht="15.75" thickBot="1" x14ac:dyDescent="0.3">
      <c r="B179" s="24" t="s">
        <v>9</v>
      </c>
      <c r="C179" s="25"/>
      <c r="D179" s="25"/>
      <c r="E179" s="25">
        <f>F177-L157</f>
        <v>231.64999999999964</v>
      </c>
      <c r="F179" s="26"/>
      <c r="H179" s="24" t="s">
        <v>9</v>
      </c>
      <c r="I179" s="25"/>
      <c r="J179" s="25"/>
      <c r="K179" s="25">
        <f>L177-F177</f>
        <v>190.67500000000109</v>
      </c>
      <c r="L179" s="26"/>
    </row>
    <row r="180" spans="2:15" x14ac:dyDescent="0.25">
      <c r="B180" s="27" t="s">
        <v>10</v>
      </c>
      <c r="C180" s="27"/>
      <c r="D180" s="27"/>
      <c r="E180" s="27">
        <f>D177-J157</f>
        <v>34.699999999999818</v>
      </c>
      <c r="H180" s="27" t="s">
        <v>10</v>
      </c>
      <c r="I180" s="27"/>
      <c r="J180" s="27"/>
      <c r="K180" s="27">
        <f>J177-D177</f>
        <v>27.200000000000045</v>
      </c>
    </row>
    <row r="181" spans="2:15" ht="15.75" thickBot="1" x14ac:dyDescent="0.3"/>
    <row r="182" spans="2:15" x14ac:dyDescent="0.25">
      <c r="B182" s="1"/>
      <c r="C182" s="2"/>
      <c r="D182" s="3">
        <v>44617</v>
      </c>
      <c r="E182" s="2" t="s">
        <v>55</v>
      </c>
      <c r="F182" s="4"/>
      <c r="H182" s="1"/>
      <c r="I182" s="2"/>
      <c r="J182" s="3">
        <v>44620</v>
      </c>
      <c r="K182" s="2"/>
      <c r="L182" s="4"/>
    </row>
    <row r="183" spans="2:15" x14ac:dyDescent="0.25">
      <c r="B183" s="5"/>
      <c r="D183" s="6"/>
      <c r="F183" s="7"/>
      <c r="H183" s="5"/>
      <c r="J183" s="6"/>
      <c r="L183" s="7"/>
      <c r="O183" t="s">
        <v>54</v>
      </c>
    </row>
    <row r="184" spans="2:15" x14ac:dyDescent="0.25">
      <c r="B184" s="5"/>
      <c r="C184" s="8" t="s">
        <v>0</v>
      </c>
      <c r="D184" s="9"/>
      <c r="E184" s="9"/>
      <c r="F184" s="10"/>
      <c r="H184" s="5"/>
      <c r="I184" s="8" t="s">
        <v>0</v>
      </c>
      <c r="J184" s="9"/>
      <c r="K184" s="9"/>
      <c r="L184" s="10"/>
      <c r="O184" t="s">
        <v>52</v>
      </c>
    </row>
    <row r="185" spans="2:15" x14ac:dyDescent="0.25">
      <c r="B185" s="5"/>
      <c r="C185" s="11" t="s">
        <v>1</v>
      </c>
      <c r="D185" s="12"/>
      <c r="E185" s="12"/>
      <c r="F185" s="13"/>
      <c r="H185" s="5"/>
      <c r="I185" s="11" t="s">
        <v>1</v>
      </c>
      <c r="J185" s="12"/>
      <c r="K185" s="12"/>
      <c r="L185" s="13"/>
      <c r="O185" t="s">
        <v>56</v>
      </c>
    </row>
    <row r="186" spans="2:15" x14ac:dyDescent="0.25">
      <c r="B186" s="5"/>
      <c r="C186" s="14"/>
      <c r="D186" t="s">
        <v>2</v>
      </c>
      <c r="F186" s="7" t="s">
        <v>3</v>
      </c>
      <c r="H186" s="5"/>
      <c r="I186" s="14"/>
      <c r="J186" t="s">
        <v>2</v>
      </c>
      <c r="L186" s="7" t="s">
        <v>3</v>
      </c>
      <c r="O186" t="s">
        <v>53</v>
      </c>
    </row>
    <row r="187" spans="2:15" x14ac:dyDescent="0.25">
      <c r="B187" s="5"/>
      <c r="C187" s="14" t="s">
        <v>4</v>
      </c>
      <c r="D187">
        <f>1530.211*25</f>
        <v>38255.275000000001</v>
      </c>
      <c r="F187" s="15">
        <f>0.011*25</f>
        <v>0.27499999999999997</v>
      </c>
      <c r="H187" s="5"/>
      <c r="I187" s="14" t="s">
        <v>4</v>
      </c>
      <c r="J187">
        <f>1534.401*25</f>
        <v>38360.025000000001</v>
      </c>
      <c r="L187" s="15">
        <f>0.011*25</f>
        <v>0.27499999999999997</v>
      </c>
    </row>
    <row r="188" spans="2:15" x14ac:dyDescent="0.25">
      <c r="B188" s="5"/>
      <c r="C188" s="14" t="s">
        <v>5</v>
      </c>
      <c r="D188">
        <f>354.524*25</f>
        <v>8863.1</v>
      </c>
      <c r="F188" s="15">
        <f>0.036*25</f>
        <v>0.89999999999999991</v>
      </c>
      <c r="H188" s="5"/>
      <c r="I188" s="14" t="s">
        <v>5</v>
      </c>
      <c r="J188">
        <f>355.692*25</f>
        <v>8892.2999999999993</v>
      </c>
      <c r="L188" s="15">
        <f>0.036*25</f>
        <v>0.89999999999999991</v>
      </c>
    </row>
    <row r="189" spans="2:15" ht="15.75" thickBot="1" x14ac:dyDescent="0.3">
      <c r="B189" s="5"/>
      <c r="C189" s="16" t="s">
        <v>6</v>
      </c>
      <c r="D189">
        <f>344.922*25</f>
        <v>8623.0500000000011</v>
      </c>
      <c r="E189" s="17"/>
      <c r="F189" s="18">
        <f>0.055*25</f>
        <v>1.375</v>
      </c>
      <c r="H189" s="5"/>
      <c r="I189" s="16" t="s">
        <v>6</v>
      </c>
      <c r="J189">
        <f>349.371*25</f>
        <v>8734.2749999999996</v>
      </c>
      <c r="K189" s="17"/>
      <c r="L189" s="18">
        <f>0.056*25</f>
        <v>1.4000000000000001</v>
      </c>
    </row>
    <row r="190" spans="2:15" ht="15.75" thickBot="1" x14ac:dyDescent="0.3">
      <c r="B190" s="5"/>
      <c r="D190" s="19">
        <v>55741.425000000003</v>
      </c>
      <c r="F190" s="19">
        <f>SUM(F187:F189)</f>
        <v>2.5499999999999998</v>
      </c>
      <c r="H190" s="5"/>
      <c r="J190" s="19">
        <v>55986.6</v>
      </c>
      <c r="L190" s="19">
        <f>SUM(L187:L189)</f>
        <v>2.5750000000000002</v>
      </c>
    </row>
    <row r="191" spans="2:15" x14ac:dyDescent="0.25">
      <c r="B191" s="5"/>
      <c r="C191" s="8" t="s">
        <v>7</v>
      </c>
      <c r="D191" s="12"/>
      <c r="E191" s="9"/>
      <c r="F191" s="10"/>
      <c r="H191" s="5"/>
      <c r="I191" s="8" t="s">
        <v>7</v>
      </c>
      <c r="J191" s="12"/>
      <c r="K191" s="9"/>
      <c r="L191" s="10"/>
    </row>
    <row r="192" spans="2:15" x14ac:dyDescent="0.25">
      <c r="B192" s="5"/>
      <c r="C192" s="11" t="s">
        <v>1</v>
      </c>
      <c r="D192" s="12"/>
      <c r="E192" s="12"/>
      <c r="F192" s="13"/>
      <c r="H192" s="5"/>
      <c r="I192" s="11" t="s">
        <v>1</v>
      </c>
      <c r="J192" s="12"/>
      <c r="K192" s="12"/>
      <c r="L192" s="13"/>
    </row>
    <row r="193" spans="2:15" x14ac:dyDescent="0.25">
      <c r="B193" s="5"/>
      <c r="C193" s="14"/>
      <c r="D193" t="s">
        <v>2</v>
      </c>
      <c r="F193" s="7" t="s">
        <v>3</v>
      </c>
      <c r="H193" s="5"/>
      <c r="I193" s="14"/>
      <c r="J193" t="s">
        <v>2</v>
      </c>
      <c r="L193" s="7" t="s">
        <v>3</v>
      </c>
    </row>
    <row r="194" spans="2:15" x14ac:dyDescent="0.25">
      <c r="B194" s="5"/>
      <c r="C194" s="14" t="s">
        <v>4</v>
      </c>
      <c r="D194">
        <f>8.889*25</f>
        <v>222.22499999999999</v>
      </c>
      <c r="F194" s="20">
        <f>358.632*25</f>
        <v>8965.7999999999993</v>
      </c>
      <c r="H194" s="5"/>
      <c r="I194" s="14" t="s">
        <v>4</v>
      </c>
      <c r="J194">
        <f>9.946*25</f>
        <v>248.65</v>
      </c>
      <c r="L194" s="20">
        <f>362.53*25</f>
        <v>9063.25</v>
      </c>
    </row>
    <row r="195" spans="2:15" x14ac:dyDescent="0.25">
      <c r="B195" s="5"/>
      <c r="C195" s="14" t="s">
        <v>5</v>
      </c>
      <c r="D195">
        <f>19.424*25</f>
        <v>485.59999999999997</v>
      </c>
      <c r="F195" s="21">
        <f>114.569*25</f>
        <v>2864.2249999999999</v>
      </c>
      <c r="H195" s="5"/>
      <c r="I195" s="14" t="s">
        <v>5</v>
      </c>
      <c r="J195">
        <f>19.967*25</f>
        <v>499.17499999999995</v>
      </c>
      <c r="L195" s="21">
        <f>117.098*25</f>
        <v>2927.45</v>
      </c>
    </row>
    <row r="196" spans="2:15" ht="15.75" thickBot="1" x14ac:dyDescent="0.3">
      <c r="B196" s="5"/>
      <c r="C196" s="16" t="s">
        <v>6</v>
      </c>
      <c r="D196">
        <f>20.027*25</f>
        <v>500.67500000000001</v>
      </c>
      <c r="E196" s="17"/>
      <c r="F196" s="21">
        <f>96.764*25</f>
        <v>2419.1</v>
      </c>
      <c r="H196" s="5"/>
      <c r="I196" s="16" t="s">
        <v>6</v>
      </c>
      <c r="J196">
        <f>23.865*25</f>
        <v>596.625</v>
      </c>
      <c r="K196" s="17"/>
      <c r="L196" s="21">
        <f>100.592*25</f>
        <v>2514.8000000000002</v>
      </c>
    </row>
    <row r="197" spans="2:15" ht="15.75" thickBot="1" x14ac:dyDescent="0.3">
      <c r="B197" s="5"/>
      <c r="D197" s="19">
        <f>SUM(D194:D196)</f>
        <v>1208.5</v>
      </c>
      <c r="F197" s="19">
        <f>SUM(F194:F196)</f>
        <v>14249.125</v>
      </c>
      <c r="H197" s="5"/>
      <c r="J197" s="19">
        <f>SUM(J194:J196)</f>
        <v>1344.4499999999998</v>
      </c>
      <c r="L197" s="19">
        <f>SUM(L194:L196)</f>
        <v>14505.5</v>
      </c>
    </row>
    <row r="198" spans="2:15" x14ac:dyDescent="0.25">
      <c r="B198" s="22" t="s">
        <v>8</v>
      </c>
      <c r="C198" s="23"/>
      <c r="D198" s="23"/>
      <c r="E198" s="23">
        <f>D190-J170</f>
        <v>238.02500000000146</v>
      </c>
      <c r="F198" s="7"/>
      <c r="H198" s="22" t="s">
        <v>8</v>
      </c>
      <c r="I198" s="23"/>
      <c r="J198" s="23"/>
      <c r="K198" s="23">
        <f>J190-D190</f>
        <v>245.17499999999563</v>
      </c>
      <c r="L198" s="7"/>
    </row>
    <row r="199" spans="2:15" ht="15.75" thickBot="1" x14ac:dyDescent="0.3">
      <c r="B199" s="24" t="s">
        <v>9</v>
      </c>
      <c r="C199" s="25"/>
      <c r="D199" s="25"/>
      <c r="E199" s="25">
        <f>F197-L177</f>
        <v>249.29999999999927</v>
      </c>
      <c r="F199" s="26"/>
      <c r="H199" s="24" t="s">
        <v>9</v>
      </c>
      <c r="I199" s="25"/>
      <c r="J199" s="25"/>
      <c r="K199" s="25">
        <f>L197-F197</f>
        <v>256.375</v>
      </c>
      <c r="L199" s="26"/>
    </row>
    <row r="200" spans="2:15" x14ac:dyDescent="0.25">
      <c r="B200" s="27" t="s">
        <v>10</v>
      </c>
      <c r="C200" s="27"/>
      <c r="D200" s="27"/>
      <c r="E200" s="27">
        <f>D197-J177</f>
        <v>45.775000000000091</v>
      </c>
      <c r="H200" s="27" t="s">
        <v>10</v>
      </c>
      <c r="I200" s="27"/>
      <c r="J200" s="27"/>
      <c r="K200" s="27">
        <f>J197-D197</f>
        <v>135.94999999999982</v>
      </c>
    </row>
    <row r="201" spans="2:15" ht="15.75" thickBot="1" x14ac:dyDescent="0.3"/>
    <row r="202" spans="2:15" x14ac:dyDescent="0.25">
      <c r="B202" s="1"/>
      <c r="C202" s="2"/>
      <c r="D202" s="3">
        <v>44621</v>
      </c>
      <c r="E202" s="2"/>
      <c r="F202" s="4"/>
      <c r="H202" s="1"/>
      <c r="I202" s="2"/>
      <c r="J202" s="3">
        <v>44622</v>
      </c>
      <c r="K202" s="2" t="s">
        <v>75</v>
      </c>
      <c r="L202" s="4"/>
    </row>
    <row r="203" spans="2:15" x14ac:dyDescent="0.25">
      <c r="B203" s="5"/>
      <c r="D203" s="6"/>
      <c r="F203" s="7"/>
      <c r="H203" s="5"/>
      <c r="J203" s="6"/>
      <c r="L203" s="7"/>
      <c r="O203" t="s">
        <v>57</v>
      </c>
    </row>
    <row r="204" spans="2:15" x14ac:dyDescent="0.25">
      <c r="B204" s="5"/>
      <c r="C204" s="8" t="s">
        <v>0</v>
      </c>
      <c r="D204" s="9"/>
      <c r="E204" s="9"/>
      <c r="F204" s="10"/>
      <c r="H204" s="5"/>
      <c r="I204" s="8" t="s">
        <v>0</v>
      </c>
      <c r="J204" s="9"/>
      <c r="K204" s="9"/>
      <c r="L204" s="10"/>
      <c r="O204" t="s">
        <v>58</v>
      </c>
    </row>
    <row r="205" spans="2:15" x14ac:dyDescent="0.25">
      <c r="B205" s="5"/>
      <c r="C205" s="11" t="s">
        <v>1</v>
      </c>
      <c r="D205" s="12"/>
      <c r="E205" s="12"/>
      <c r="F205" s="13"/>
      <c r="H205" s="5"/>
      <c r="I205" s="11" t="s">
        <v>1</v>
      </c>
      <c r="J205" s="12"/>
      <c r="K205" s="12"/>
      <c r="L205" s="13"/>
      <c r="O205" t="s">
        <v>71</v>
      </c>
    </row>
    <row r="206" spans="2:15" x14ac:dyDescent="0.25">
      <c r="B206" s="5"/>
      <c r="C206" s="14"/>
      <c r="D206" t="s">
        <v>2</v>
      </c>
      <c r="F206" s="7" t="s">
        <v>3</v>
      </c>
      <c r="H206" s="5"/>
      <c r="I206" s="14"/>
      <c r="J206" t="s">
        <v>2</v>
      </c>
      <c r="L206" s="7" t="s">
        <v>3</v>
      </c>
      <c r="O206" t="s">
        <v>59</v>
      </c>
    </row>
    <row r="207" spans="2:15" x14ac:dyDescent="0.25">
      <c r="B207" s="5"/>
      <c r="C207" s="14" t="s">
        <v>4</v>
      </c>
      <c r="F207" s="15"/>
      <c r="H207" s="5"/>
      <c r="I207" s="14" t="s">
        <v>4</v>
      </c>
      <c r="J207">
        <f>1555.728*25</f>
        <v>38893.200000000004</v>
      </c>
      <c r="L207" s="15">
        <f>0.011*25</f>
        <v>0.27499999999999997</v>
      </c>
    </row>
    <row r="208" spans="2:15" x14ac:dyDescent="0.25">
      <c r="B208" s="5"/>
      <c r="C208" s="14" t="s">
        <v>5</v>
      </c>
      <c r="F208" s="15"/>
      <c r="H208" s="5"/>
      <c r="I208" s="14" t="s">
        <v>5</v>
      </c>
      <c r="J208">
        <f>355.851*25</f>
        <v>8896.2749999999996</v>
      </c>
      <c r="L208" s="15">
        <f>0.036*25</f>
        <v>0.89999999999999991</v>
      </c>
    </row>
    <row r="209" spans="2:15" ht="15.75" thickBot="1" x14ac:dyDescent="0.3">
      <c r="B209" s="5"/>
      <c r="C209" s="16" t="s">
        <v>6</v>
      </c>
      <c r="E209" s="17"/>
      <c r="F209" s="18"/>
      <c r="H209" s="5"/>
      <c r="I209" s="16" t="s">
        <v>6</v>
      </c>
      <c r="J209">
        <f>349.38*25</f>
        <v>8734.5</v>
      </c>
      <c r="K209" s="17"/>
      <c r="L209" s="18">
        <f>0.056*25</f>
        <v>1.4000000000000001</v>
      </c>
    </row>
    <row r="210" spans="2:15" ht="15.75" thickBot="1" x14ac:dyDescent="0.3">
      <c r="B210" s="5"/>
      <c r="D210" s="19"/>
      <c r="F210" s="19"/>
      <c r="H210" s="5"/>
      <c r="J210" s="19">
        <f>J207+J208+J209</f>
        <v>56523.975000000006</v>
      </c>
      <c r="L210" s="19">
        <f>L207+L208+L209</f>
        <v>2.5750000000000002</v>
      </c>
    </row>
    <row r="211" spans="2:15" x14ac:dyDescent="0.25">
      <c r="B211" s="5"/>
      <c r="C211" s="8" t="s">
        <v>7</v>
      </c>
      <c r="D211" s="12"/>
      <c r="E211" s="9"/>
      <c r="F211" s="10"/>
      <c r="H211" s="5"/>
      <c r="I211" s="8" t="s">
        <v>7</v>
      </c>
      <c r="J211" s="12"/>
      <c r="K211" s="9"/>
      <c r="L211" s="10"/>
    </row>
    <row r="212" spans="2:15" x14ac:dyDescent="0.25">
      <c r="B212" s="5"/>
      <c r="C212" s="11" t="s">
        <v>1</v>
      </c>
      <c r="D212" s="12"/>
      <c r="E212" s="12"/>
      <c r="F212" s="13"/>
      <c r="H212" s="5"/>
      <c r="I212" s="11" t="s">
        <v>1</v>
      </c>
      <c r="J212" s="12"/>
      <c r="K212" s="12"/>
      <c r="L212" s="13"/>
    </row>
    <row r="213" spans="2:15" x14ac:dyDescent="0.25">
      <c r="B213" s="5"/>
      <c r="C213" s="14"/>
      <c r="D213" t="s">
        <v>2</v>
      </c>
      <c r="F213" s="7" t="s">
        <v>3</v>
      </c>
      <c r="H213" s="5"/>
      <c r="I213" s="14"/>
      <c r="J213" t="s">
        <v>2</v>
      </c>
      <c r="L213" s="7" t="s">
        <v>3</v>
      </c>
    </row>
    <row r="214" spans="2:15" x14ac:dyDescent="0.25">
      <c r="B214" s="5"/>
      <c r="C214" s="14" t="s">
        <v>4</v>
      </c>
      <c r="F214" s="20"/>
      <c r="H214" s="5"/>
      <c r="I214" s="14" t="s">
        <v>4</v>
      </c>
      <c r="J214">
        <f>14.844*25</f>
        <v>371.09999999999997</v>
      </c>
      <c r="L214" s="20">
        <f>389.061*25</f>
        <v>9726.5249999999996</v>
      </c>
    </row>
    <row r="215" spans="2:15" x14ac:dyDescent="0.25">
      <c r="B215" s="5"/>
      <c r="C215" s="14" t="s">
        <v>5</v>
      </c>
      <c r="F215" s="21"/>
      <c r="H215" s="5"/>
      <c r="I215" s="14" t="s">
        <v>5</v>
      </c>
      <c r="J215">
        <f>19.967*25</f>
        <v>499.17499999999995</v>
      </c>
      <c r="L215" s="21">
        <f>124.334*25</f>
        <v>3108.35</v>
      </c>
    </row>
    <row r="216" spans="2:15" ht="15.75" thickBot="1" x14ac:dyDescent="0.3">
      <c r="B216" s="5"/>
      <c r="C216" s="16" t="s">
        <v>6</v>
      </c>
      <c r="E216" s="17"/>
      <c r="F216" s="21"/>
      <c r="H216" s="5"/>
      <c r="I216" s="16" t="s">
        <v>6</v>
      </c>
      <c r="J216">
        <f>23.865*25</f>
        <v>596.625</v>
      </c>
      <c r="K216" s="17"/>
      <c r="L216" s="21">
        <f>107.618*25</f>
        <v>2690.45</v>
      </c>
    </row>
    <row r="217" spans="2:15" ht="15.75" thickBot="1" x14ac:dyDescent="0.3">
      <c r="B217" s="5"/>
      <c r="D217" s="19"/>
      <c r="F217" s="19"/>
      <c r="H217" s="5"/>
      <c r="J217" s="19">
        <f>J214+J215+J216</f>
        <v>1466.8999999999999</v>
      </c>
      <c r="L217" s="19">
        <f>L214+L215+L216</f>
        <v>15525.325000000001</v>
      </c>
    </row>
    <row r="218" spans="2:15" x14ac:dyDescent="0.25">
      <c r="B218" s="22" t="s">
        <v>8</v>
      </c>
      <c r="C218" s="23"/>
      <c r="D218" s="23"/>
      <c r="E218" s="23"/>
      <c r="F218" s="7"/>
      <c r="H218" s="22" t="s">
        <v>8</v>
      </c>
      <c r="I218" s="23"/>
      <c r="J218" s="23"/>
      <c r="K218" s="23"/>
      <c r="L218" s="7"/>
    </row>
    <row r="219" spans="2:15" ht="15.75" thickBot="1" x14ac:dyDescent="0.3">
      <c r="B219" s="24" t="s">
        <v>9</v>
      </c>
      <c r="C219" s="25"/>
      <c r="D219" s="25"/>
      <c r="E219" s="25"/>
      <c r="F219" s="26"/>
      <c r="H219" s="24" t="s">
        <v>9</v>
      </c>
      <c r="I219" s="25"/>
      <c r="J219" s="25"/>
      <c r="K219" s="25"/>
      <c r="L219" s="26"/>
    </row>
    <row r="220" spans="2:15" x14ac:dyDescent="0.25">
      <c r="B220" s="27" t="s">
        <v>10</v>
      </c>
      <c r="C220" s="27"/>
      <c r="D220" s="27"/>
      <c r="E220" s="27"/>
      <c r="H220" s="27" t="s">
        <v>10</v>
      </c>
      <c r="I220" s="27"/>
      <c r="J220" s="27"/>
      <c r="K220" s="27"/>
    </row>
    <row r="221" spans="2:15" ht="15.75" thickBot="1" x14ac:dyDescent="0.3"/>
    <row r="222" spans="2:15" x14ac:dyDescent="0.25">
      <c r="B222" s="1"/>
      <c r="C222" s="2"/>
      <c r="D222" s="3">
        <v>44623</v>
      </c>
      <c r="E222" s="2" t="s">
        <v>74</v>
      </c>
      <c r="F222" s="4"/>
      <c r="H222" s="1"/>
      <c r="I222" s="2"/>
      <c r="J222" s="3">
        <v>44624</v>
      </c>
      <c r="K222" s="2" t="s">
        <v>73</v>
      </c>
      <c r="L222" s="4"/>
    </row>
    <row r="223" spans="2:15" x14ac:dyDescent="0.25">
      <c r="B223" s="5"/>
      <c r="D223" s="6"/>
      <c r="F223" s="7"/>
      <c r="H223" s="5"/>
      <c r="J223" s="6"/>
      <c r="L223" s="7"/>
      <c r="O223" t="s">
        <v>72</v>
      </c>
    </row>
    <row r="224" spans="2:15" x14ac:dyDescent="0.25">
      <c r="B224" s="5"/>
      <c r="C224" s="8" t="s">
        <v>0</v>
      </c>
      <c r="D224" s="9"/>
      <c r="E224" s="9"/>
      <c r="F224" s="10"/>
      <c r="H224" s="5"/>
      <c r="I224" s="8" t="s">
        <v>0</v>
      </c>
      <c r="J224" s="9"/>
      <c r="K224" s="9"/>
      <c r="L224" s="10"/>
      <c r="O224" t="s">
        <v>60</v>
      </c>
    </row>
    <row r="225" spans="2:15" x14ac:dyDescent="0.25">
      <c r="B225" s="5"/>
      <c r="C225" s="11" t="s">
        <v>1</v>
      </c>
      <c r="D225" s="12"/>
      <c r="E225" s="12"/>
      <c r="F225" s="13"/>
      <c r="H225" s="5"/>
      <c r="I225" s="11" t="s">
        <v>1</v>
      </c>
      <c r="J225" s="12"/>
      <c r="K225" s="12"/>
      <c r="L225" s="13"/>
      <c r="O225" t="s">
        <v>61</v>
      </c>
    </row>
    <row r="226" spans="2:15" x14ac:dyDescent="0.25">
      <c r="B226" s="5"/>
      <c r="C226" s="14"/>
      <c r="D226" t="s">
        <v>2</v>
      </c>
      <c r="F226" s="7" t="s">
        <v>3</v>
      </c>
      <c r="H226" s="5"/>
      <c r="I226" s="14"/>
      <c r="J226" t="s">
        <v>2</v>
      </c>
      <c r="L226" s="7" t="s">
        <v>3</v>
      </c>
      <c r="O226" t="s">
        <v>62</v>
      </c>
    </row>
    <row r="227" spans="2:15" x14ac:dyDescent="0.25">
      <c r="B227" s="5"/>
      <c r="C227" s="14" t="s">
        <v>4</v>
      </c>
      <c r="D227">
        <f>1556.189*25</f>
        <v>38904.724999999999</v>
      </c>
      <c r="F227" s="15">
        <f>0.011*25</f>
        <v>0.27499999999999997</v>
      </c>
      <c r="H227" s="5"/>
      <c r="I227" s="14" t="s">
        <v>4</v>
      </c>
      <c r="J227">
        <f>1565.476*25</f>
        <v>39136.9</v>
      </c>
      <c r="L227" s="15">
        <f>0.012*25</f>
        <v>0.3</v>
      </c>
    </row>
    <row r="228" spans="2:15" x14ac:dyDescent="0.25">
      <c r="B228" s="5"/>
      <c r="C228" s="14" t="s">
        <v>5</v>
      </c>
      <c r="D228">
        <f>355.968*25</f>
        <v>8899.2000000000007</v>
      </c>
      <c r="F228" s="15">
        <f>0.036*25</f>
        <v>0.89999999999999991</v>
      </c>
      <c r="H228" s="5"/>
      <c r="I228" s="14" t="s">
        <v>5</v>
      </c>
      <c r="J228">
        <f>356.06*25</f>
        <v>8901.5</v>
      </c>
      <c r="L228" s="15">
        <f>0.036*25</f>
        <v>0.89999999999999991</v>
      </c>
    </row>
    <row r="229" spans="2:15" ht="15.75" thickBot="1" x14ac:dyDescent="0.3">
      <c r="B229" s="5"/>
      <c r="C229" s="16" t="s">
        <v>6</v>
      </c>
      <c r="D229">
        <f>349.384*25</f>
        <v>8734.6</v>
      </c>
      <c r="E229" s="17"/>
      <c r="F229" s="18">
        <f>0.056*25</f>
        <v>1.4000000000000001</v>
      </c>
      <c r="H229" s="5"/>
      <c r="I229" s="16" t="s">
        <v>6</v>
      </c>
      <c r="J229">
        <f>349.388*25</f>
        <v>8734.6999999999989</v>
      </c>
      <c r="K229" s="17"/>
      <c r="L229" s="18">
        <f>0.056*25</f>
        <v>1.4000000000000001</v>
      </c>
    </row>
    <row r="230" spans="2:15" ht="15.75" thickBot="1" x14ac:dyDescent="0.3">
      <c r="B230" s="5"/>
      <c r="D230" s="19">
        <f>D227+D228+D229</f>
        <v>56538.525000000001</v>
      </c>
      <c r="F230" s="19">
        <f>F227+F228+F229</f>
        <v>2.5750000000000002</v>
      </c>
      <c r="H230" s="5"/>
      <c r="J230" s="19">
        <f>J227+J228+J229</f>
        <v>56773.1</v>
      </c>
      <c r="L230" s="19">
        <f>L227+L228+L229</f>
        <v>2.6</v>
      </c>
    </row>
    <row r="231" spans="2:15" x14ac:dyDescent="0.25">
      <c r="B231" s="5"/>
      <c r="C231" s="8" t="s">
        <v>7</v>
      </c>
      <c r="D231" s="12"/>
      <c r="E231" s="9"/>
      <c r="F231" s="10"/>
      <c r="H231" s="5"/>
      <c r="I231" s="8" t="s">
        <v>7</v>
      </c>
      <c r="J231" s="12"/>
      <c r="K231" s="9"/>
      <c r="L231" s="10"/>
    </row>
    <row r="232" spans="2:15" x14ac:dyDescent="0.25">
      <c r="B232" s="5"/>
      <c r="C232" s="11" t="s">
        <v>1</v>
      </c>
      <c r="D232" s="12"/>
      <c r="E232" s="12"/>
      <c r="F232" s="13"/>
      <c r="H232" s="5"/>
      <c r="I232" s="11" t="s">
        <v>1</v>
      </c>
      <c r="J232" s="12"/>
      <c r="K232" s="12"/>
      <c r="L232" s="13"/>
    </row>
    <row r="233" spans="2:15" x14ac:dyDescent="0.25">
      <c r="B233" s="5"/>
      <c r="C233" s="14"/>
      <c r="D233" t="s">
        <v>2</v>
      </c>
      <c r="F233" s="7" t="s">
        <v>3</v>
      </c>
      <c r="H233" s="5"/>
      <c r="I233" s="14"/>
      <c r="J233" t="s">
        <v>2</v>
      </c>
      <c r="L233" s="7" t="s">
        <v>3</v>
      </c>
    </row>
    <row r="234" spans="2:15" x14ac:dyDescent="0.25">
      <c r="B234" s="5"/>
      <c r="C234" s="14" t="s">
        <v>4</v>
      </c>
      <c r="D234">
        <f>14.848*25</f>
        <v>371.20000000000005</v>
      </c>
      <c r="F234" s="20">
        <f>391.944*25</f>
        <v>9798.6</v>
      </c>
      <c r="H234" s="5"/>
      <c r="I234" s="14" t="s">
        <v>4</v>
      </c>
      <c r="J234">
        <f>16.611*25</f>
        <v>415.27500000000003</v>
      </c>
      <c r="L234" s="20">
        <f>403.35*25</f>
        <v>10083.75</v>
      </c>
    </row>
    <row r="235" spans="2:15" x14ac:dyDescent="0.25">
      <c r="B235" s="5"/>
      <c r="C235" s="14" t="s">
        <v>5</v>
      </c>
      <c r="D235">
        <f>19.967*25</f>
        <v>499.17499999999995</v>
      </c>
      <c r="F235" s="21">
        <f>126.069*25</f>
        <v>3151.7249999999999</v>
      </c>
      <c r="H235" s="5"/>
      <c r="I235" s="14" t="s">
        <v>5</v>
      </c>
      <c r="J235">
        <f>19.973*25</f>
        <v>499.32499999999999</v>
      </c>
      <c r="L235" s="21">
        <f>127.701*25</f>
        <v>3192.5249999999996</v>
      </c>
    </row>
    <row r="236" spans="2:15" ht="15.75" thickBot="1" x14ac:dyDescent="0.3">
      <c r="B236" s="5"/>
      <c r="C236" s="16" t="s">
        <v>6</v>
      </c>
      <c r="D236">
        <f>23.865*25</f>
        <v>596.625</v>
      </c>
      <c r="E236" s="17"/>
      <c r="F236" s="21">
        <f>109.454*25</f>
        <v>2736.35</v>
      </c>
      <c r="H236" s="5"/>
      <c r="I236" s="16" t="s">
        <v>6</v>
      </c>
      <c r="J236">
        <f>23.865*25</f>
        <v>596.625</v>
      </c>
      <c r="K236" s="17"/>
      <c r="L236" s="21">
        <f>110.497*25</f>
        <v>2762.4250000000002</v>
      </c>
    </row>
    <row r="237" spans="2:15" ht="15.75" thickBot="1" x14ac:dyDescent="0.3">
      <c r="B237" s="5"/>
      <c r="D237" s="19">
        <f>D234+D235+D236</f>
        <v>1467</v>
      </c>
      <c r="F237" s="19">
        <f>F234+F235+F236</f>
        <v>15686.675000000001</v>
      </c>
      <c r="H237" s="5"/>
      <c r="J237" s="19">
        <f>J234+J235+J236</f>
        <v>1511.2249999999999</v>
      </c>
      <c r="L237" s="19">
        <f>L234+L235+L236</f>
        <v>16038.7</v>
      </c>
    </row>
    <row r="238" spans="2:15" x14ac:dyDescent="0.25">
      <c r="B238" s="22" t="s">
        <v>8</v>
      </c>
      <c r="C238" s="23"/>
      <c r="D238" s="23"/>
      <c r="E238" s="23">
        <f>D230-J210</f>
        <v>14.549999999995634</v>
      </c>
      <c r="F238" s="7"/>
      <c r="H238" s="22" t="s">
        <v>8</v>
      </c>
      <c r="I238" s="23"/>
      <c r="J238" s="23"/>
      <c r="K238" s="23">
        <f>J230-D230</f>
        <v>234.57499999999709</v>
      </c>
      <c r="L238" s="7"/>
    </row>
    <row r="239" spans="2:15" ht="15.75" thickBot="1" x14ac:dyDescent="0.3">
      <c r="B239" s="24" t="s">
        <v>9</v>
      </c>
      <c r="C239" s="25"/>
      <c r="D239" s="25"/>
      <c r="E239" s="25">
        <f>F237-L217</f>
        <v>161.35000000000036</v>
      </c>
      <c r="F239" s="26"/>
      <c r="H239" s="24" t="s">
        <v>9</v>
      </c>
      <c r="I239" s="25"/>
      <c r="J239" s="25"/>
      <c r="K239" s="25">
        <f>L237-F237</f>
        <v>352.02499999999964</v>
      </c>
      <c r="L239" s="26"/>
    </row>
    <row r="240" spans="2:15" x14ac:dyDescent="0.25">
      <c r="B240" s="27" t="s">
        <v>10</v>
      </c>
      <c r="C240" s="27"/>
      <c r="D240" s="27"/>
      <c r="E240" s="27">
        <f>D237-J217</f>
        <v>0.10000000000013642</v>
      </c>
      <c r="H240" s="27" t="s">
        <v>10</v>
      </c>
      <c r="I240" s="27"/>
      <c r="J240" s="27"/>
      <c r="K240" s="27">
        <f>J237-D237</f>
        <v>44.224999999999909</v>
      </c>
    </row>
    <row r="241" spans="2:15" ht="15.75" thickBot="1" x14ac:dyDescent="0.3"/>
    <row r="242" spans="2:15" x14ac:dyDescent="0.25">
      <c r="B242" s="1"/>
      <c r="C242" s="2"/>
      <c r="D242" s="3">
        <v>44627</v>
      </c>
      <c r="E242" s="2" t="s">
        <v>75</v>
      </c>
      <c r="F242" s="4"/>
      <c r="H242" s="1"/>
      <c r="I242" s="2"/>
      <c r="J242" s="3">
        <v>44628</v>
      </c>
      <c r="K242" s="2" t="s">
        <v>79</v>
      </c>
      <c r="L242" s="4"/>
    </row>
    <row r="243" spans="2:15" x14ac:dyDescent="0.25">
      <c r="B243" s="5"/>
      <c r="D243" s="6"/>
      <c r="F243" s="7"/>
      <c r="H243" s="5"/>
      <c r="J243" s="6"/>
      <c r="L243" s="7"/>
      <c r="O243" t="s">
        <v>76</v>
      </c>
    </row>
    <row r="244" spans="2:15" x14ac:dyDescent="0.25">
      <c r="B244" s="5"/>
      <c r="C244" s="8" t="s">
        <v>0</v>
      </c>
      <c r="D244" s="9"/>
      <c r="E244" s="9"/>
      <c r="F244" s="10"/>
      <c r="H244" s="5"/>
      <c r="I244" s="8" t="s">
        <v>0</v>
      </c>
      <c r="J244" s="9"/>
      <c r="K244" s="9"/>
      <c r="L244" s="10"/>
      <c r="O244" t="s">
        <v>63</v>
      </c>
    </row>
    <row r="245" spans="2:15" x14ac:dyDescent="0.25">
      <c r="B245" s="5"/>
      <c r="C245" s="11" t="s">
        <v>1</v>
      </c>
      <c r="D245" s="12"/>
      <c r="E245" s="12"/>
      <c r="F245" s="13"/>
      <c r="H245" s="5"/>
      <c r="I245" s="11" t="s">
        <v>1</v>
      </c>
      <c r="J245" s="12"/>
      <c r="K245" s="12"/>
      <c r="L245" s="13"/>
      <c r="O245" t="s">
        <v>64</v>
      </c>
    </row>
    <row r="246" spans="2:15" x14ac:dyDescent="0.25">
      <c r="B246" s="5"/>
      <c r="C246" s="14"/>
      <c r="D246" t="s">
        <v>2</v>
      </c>
      <c r="F246" s="7" t="s">
        <v>3</v>
      </c>
      <c r="H246" s="5"/>
      <c r="I246" s="14"/>
      <c r="J246" t="s">
        <v>2</v>
      </c>
      <c r="L246" s="7" t="s">
        <v>3</v>
      </c>
      <c r="O246" t="s">
        <v>65</v>
      </c>
    </row>
    <row r="247" spans="2:15" x14ac:dyDescent="0.25">
      <c r="B247" s="5"/>
      <c r="C247" s="14" t="s">
        <v>4</v>
      </c>
      <c r="D247">
        <f>1573.273*25</f>
        <v>39331.824999999997</v>
      </c>
      <c r="F247" s="15">
        <f>0.014*25</f>
        <v>0.35000000000000003</v>
      </c>
      <c r="H247" s="5"/>
      <c r="I247" s="14" t="s">
        <v>4</v>
      </c>
      <c r="J247">
        <f>1577.214*25</f>
        <v>39430.35</v>
      </c>
      <c r="L247" s="15">
        <f>0.014*25</f>
        <v>0.35000000000000003</v>
      </c>
    </row>
    <row r="248" spans="2:15" x14ac:dyDescent="0.25">
      <c r="B248" s="5"/>
      <c r="C248" s="14" t="s">
        <v>5</v>
      </c>
      <c r="D248">
        <f>361.36*25</f>
        <v>9034</v>
      </c>
      <c r="F248" s="15">
        <f>0.037*25</f>
        <v>0.92499999999999993</v>
      </c>
      <c r="H248" s="5"/>
      <c r="I248" s="14" t="s">
        <v>5</v>
      </c>
      <c r="J248">
        <f>361.4*25</f>
        <v>9035</v>
      </c>
      <c r="L248" s="15">
        <f>0.037*25</f>
        <v>0.92499999999999993</v>
      </c>
    </row>
    <row r="249" spans="2:15" ht="15.75" thickBot="1" x14ac:dyDescent="0.3">
      <c r="B249" s="5"/>
      <c r="C249" s="16" t="s">
        <v>6</v>
      </c>
      <c r="D249">
        <f>354.336*25</f>
        <v>8858.4</v>
      </c>
      <c r="E249" s="17"/>
      <c r="F249" s="18">
        <f>0.056*25</f>
        <v>1.4000000000000001</v>
      </c>
      <c r="H249" s="5"/>
      <c r="I249" s="16" t="s">
        <v>6</v>
      </c>
      <c r="J249">
        <f>354.34*25</f>
        <v>8858.5</v>
      </c>
      <c r="K249" s="17"/>
      <c r="L249" s="18">
        <f>0.056*25</f>
        <v>1.4000000000000001</v>
      </c>
    </row>
    <row r="250" spans="2:15" ht="15.75" thickBot="1" x14ac:dyDescent="0.3">
      <c r="B250" s="5"/>
      <c r="D250" s="19">
        <f>D247+D248+D249</f>
        <v>57224.224999999999</v>
      </c>
      <c r="F250" s="19">
        <f>F247+F248+F249</f>
        <v>2.6749999999999998</v>
      </c>
      <c r="H250" s="5"/>
      <c r="J250" s="19">
        <v>57323.85</v>
      </c>
      <c r="L250" s="19">
        <v>2.6749999999999998</v>
      </c>
    </row>
    <row r="251" spans="2:15" x14ac:dyDescent="0.25">
      <c r="B251" s="5"/>
      <c r="C251" s="8" t="s">
        <v>7</v>
      </c>
      <c r="D251" s="12"/>
      <c r="E251" s="9"/>
      <c r="F251" s="10"/>
      <c r="H251" s="5"/>
      <c r="I251" s="8" t="s">
        <v>7</v>
      </c>
      <c r="J251" s="12"/>
      <c r="K251" s="9"/>
      <c r="L251" s="10"/>
    </row>
    <row r="252" spans="2:15" x14ac:dyDescent="0.25">
      <c r="B252" s="5"/>
      <c r="C252" s="11" t="s">
        <v>1</v>
      </c>
      <c r="D252" s="12"/>
      <c r="E252" s="12"/>
      <c r="F252" s="13"/>
      <c r="H252" s="5"/>
      <c r="I252" s="11" t="s">
        <v>1</v>
      </c>
      <c r="J252" s="12"/>
      <c r="K252" s="12"/>
      <c r="L252" s="13"/>
    </row>
    <row r="253" spans="2:15" x14ac:dyDescent="0.25">
      <c r="B253" s="5"/>
      <c r="C253" s="14"/>
      <c r="D253" t="s">
        <v>2</v>
      </c>
      <c r="F253" s="7" t="s">
        <v>3</v>
      </c>
      <c r="H253" s="5"/>
      <c r="I253" s="14"/>
      <c r="J253" t="s">
        <v>2</v>
      </c>
      <c r="L253" s="7" t="s">
        <v>3</v>
      </c>
    </row>
    <row r="254" spans="2:15" x14ac:dyDescent="0.25">
      <c r="B254" s="5"/>
      <c r="C254" s="14" t="s">
        <v>4</v>
      </c>
      <c r="D254">
        <f>18.315*25</f>
        <v>457.87500000000006</v>
      </c>
      <c r="F254" s="20">
        <f>417.912*25</f>
        <v>10447.799999999999</v>
      </c>
      <c r="H254" s="5"/>
      <c r="I254" s="14" t="s">
        <v>4</v>
      </c>
      <c r="J254">
        <f>19.314*25</f>
        <v>482.85</v>
      </c>
      <c r="L254" s="20">
        <f>420.234*25</f>
        <v>10505.85</v>
      </c>
    </row>
    <row r="255" spans="2:15" x14ac:dyDescent="0.25">
      <c r="B255" s="5"/>
      <c r="C255" s="14" t="s">
        <v>5</v>
      </c>
      <c r="D255">
        <f>24.584*25</f>
        <v>614.6</v>
      </c>
      <c r="F255" s="21">
        <f>129.849*25</f>
        <v>3246.2249999999999</v>
      </c>
      <c r="H255" s="5"/>
      <c r="I255" s="14" t="s">
        <v>5</v>
      </c>
      <c r="J255">
        <f>24.597*25</f>
        <v>614.92500000000007</v>
      </c>
      <c r="L255" s="21">
        <f>130.315*25</f>
        <v>3257.875</v>
      </c>
    </row>
    <row r="256" spans="2:15" ht="15.75" thickBot="1" x14ac:dyDescent="0.3">
      <c r="B256" s="5"/>
      <c r="C256" s="16" t="s">
        <v>6</v>
      </c>
      <c r="D256">
        <f>28.137*25</f>
        <v>703.42499999999995</v>
      </c>
      <c r="E256" s="17"/>
      <c r="F256" s="21">
        <f>114.172*25</f>
        <v>2854.2999999999997</v>
      </c>
      <c r="H256" s="5"/>
      <c r="I256" s="16" t="s">
        <v>6</v>
      </c>
      <c r="J256">
        <f>28.137*25</f>
        <v>703.42499999999995</v>
      </c>
      <c r="K256" s="17"/>
      <c r="L256" s="21">
        <f>115.05*25</f>
        <v>2876.25</v>
      </c>
    </row>
    <row r="257" spans="2:15" ht="15.75" thickBot="1" x14ac:dyDescent="0.3">
      <c r="B257" s="5"/>
      <c r="D257" s="19">
        <f>D254+D255+D256</f>
        <v>1775.9</v>
      </c>
      <c r="F257" s="19">
        <f>F254+F255+F256</f>
        <v>16548.325000000001</v>
      </c>
      <c r="H257" s="5"/>
      <c r="J257" s="19">
        <v>1801.2</v>
      </c>
      <c r="L257" s="19">
        <v>16639.974999999999</v>
      </c>
    </row>
    <row r="258" spans="2:15" x14ac:dyDescent="0.25">
      <c r="B258" s="22" t="s">
        <v>8</v>
      </c>
      <c r="C258" s="23"/>
      <c r="D258" s="23"/>
      <c r="E258" s="23">
        <f>D250-J230</f>
        <v>451.125</v>
      </c>
      <c r="F258" s="7"/>
      <c r="H258" s="22" t="s">
        <v>8</v>
      </c>
      <c r="I258" s="23"/>
      <c r="J258" s="23"/>
      <c r="K258" s="23">
        <f>J250-D250</f>
        <v>99.625</v>
      </c>
      <c r="L258" s="7"/>
    </row>
    <row r="259" spans="2:15" ht="15.75" thickBot="1" x14ac:dyDescent="0.3">
      <c r="B259" s="24" t="s">
        <v>9</v>
      </c>
      <c r="C259" s="25"/>
      <c r="D259" s="25"/>
      <c r="E259" s="25">
        <f>F257-L237</f>
        <v>509.625</v>
      </c>
      <c r="F259" s="26"/>
      <c r="H259" s="24" t="s">
        <v>9</v>
      </c>
      <c r="I259" s="25"/>
      <c r="J259" s="25"/>
      <c r="K259" s="25">
        <f>L257-F257</f>
        <v>91.649999999997817</v>
      </c>
      <c r="L259" s="26"/>
    </row>
    <row r="260" spans="2:15" x14ac:dyDescent="0.25">
      <c r="B260" s="27" t="s">
        <v>10</v>
      </c>
      <c r="C260" s="27"/>
      <c r="D260" s="27"/>
      <c r="E260" s="27">
        <f>D257-J237</f>
        <v>264.67500000000018</v>
      </c>
      <c r="H260" s="27" t="s">
        <v>10</v>
      </c>
      <c r="I260" s="27"/>
      <c r="J260" s="27"/>
      <c r="K260" s="27">
        <f>J257-D257</f>
        <v>25.299999999999955</v>
      </c>
    </row>
    <row r="261" spans="2:15" ht="15.75" thickBot="1" x14ac:dyDescent="0.3"/>
    <row r="262" spans="2:15" x14ac:dyDescent="0.25">
      <c r="B262" s="1"/>
      <c r="C262" s="2"/>
      <c r="D262" s="3">
        <v>44629</v>
      </c>
      <c r="E262" s="2" t="s">
        <v>78</v>
      </c>
      <c r="F262" s="4"/>
      <c r="H262" s="1"/>
      <c r="I262" s="2"/>
      <c r="J262" s="3">
        <v>44630</v>
      </c>
      <c r="K262" s="2"/>
      <c r="L262" s="4"/>
    </row>
    <row r="263" spans="2:15" x14ac:dyDescent="0.25">
      <c r="B263" s="5"/>
      <c r="D263" s="6"/>
      <c r="F263" s="7"/>
      <c r="H263" s="5"/>
      <c r="J263" s="6"/>
      <c r="L263" s="7"/>
      <c r="O263" t="s">
        <v>77</v>
      </c>
    </row>
    <row r="264" spans="2:15" x14ac:dyDescent="0.25">
      <c r="B264" s="5"/>
      <c r="C264" s="8" t="s">
        <v>0</v>
      </c>
      <c r="D264" s="9"/>
      <c r="E264" s="9"/>
      <c r="F264" s="10"/>
      <c r="H264" s="5"/>
      <c r="I264" s="8" t="s">
        <v>0</v>
      </c>
      <c r="J264" s="9"/>
      <c r="K264" s="9"/>
      <c r="L264" s="10"/>
      <c r="O264" t="s">
        <v>66</v>
      </c>
    </row>
    <row r="265" spans="2:15" x14ac:dyDescent="0.25">
      <c r="B265" s="5"/>
      <c r="C265" s="11" t="s">
        <v>1</v>
      </c>
      <c r="D265" s="12"/>
      <c r="E265" s="12"/>
      <c r="F265" s="13"/>
      <c r="H265" s="5"/>
      <c r="I265" s="11" t="s">
        <v>1</v>
      </c>
      <c r="J265" s="12"/>
      <c r="K265" s="12"/>
      <c r="L265" s="13"/>
      <c r="O265" t="s">
        <v>80</v>
      </c>
    </row>
    <row r="266" spans="2:15" x14ac:dyDescent="0.25">
      <c r="B266" s="5"/>
      <c r="C266" s="14"/>
      <c r="D266" t="s">
        <v>2</v>
      </c>
      <c r="F266" s="7" t="s">
        <v>3</v>
      </c>
      <c r="H266" s="5"/>
      <c r="I266" s="14"/>
      <c r="J266" t="s">
        <v>2</v>
      </c>
      <c r="L266" s="7" t="s">
        <v>3</v>
      </c>
      <c r="O266" t="s">
        <v>67</v>
      </c>
    </row>
    <row r="267" spans="2:15" x14ac:dyDescent="0.25">
      <c r="B267" s="5"/>
      <c r="C267" s="14" t="s">
        <v>4</v>
      </c>
      <c r="D267">
        <f>1581.599*25</f>
        <v>39539.974999999999</v>
      </c>
      <c r="F267" s="15">
        <f>0.014*25</f>
        <v>0.35000000000000003</v>
      </c>
      <c r="H267" s="5"/>
      <c r="I267" s="14" t="s">
        <v>4</v>
      </c>
      <c r="J267">
        <v>1590.434</v>
      </c>
      <c r="L267" s="15">
        <v>1.4E-2</v>
      </c>
    </row>
    <row r="268" spans="2:15" x14ac:dyDescent="0.25">
      <c r="B268" s="5"/>
      <c r="C268" s="14" t="s">
        <v>5</v>
      </c>
      <c r="D268">
        <f>361.569*25</f>
        <v>9039.2250000000004</v>
      </c>
      <c r="F268" s="15">
        <f>0.037*25</f>
        <v>0.92499999999999993</v>
      </c>
      <c r="H268" s="5"/>
      <c r="I268" s="14" t="s">
        <v>5</v>
      </c>
      <c r="J268">
        <v>361.69499999999999</v>
      </c>
      <c r="L268" s="15">
        <v>3.6999999999999998E-2</v>
      </c>
    </row>
    <row r="269" spans="2:15" ht="15.75" thickBot="1" x14ac:dyDescent="0.3">
      <c r="B269" s="5"/>
      <c r="C269" s="16" t="s">
        <v>6</v>
      </c>
      <c r="D269">
        <f>354.348*25</f>
        <v>8858.7000000000007</v>
      </c>
      <c r="E269" s="17"/>
      <c r="F269" s="18">
        <f>0.056*25</f>
        <v>1.4000000000000001</v>
      </c>
      <c r="H269" s="5"/>
      <c r="I269" s="16" t="s">
        <v>6</v>
      </c>
      <c r="J269">
        <v>354.35700000000003</v>
      </c>
      <c r="K269" s="17"/>
      <c r="L269" s="18">
        <v>5.7000000000000002E-2</v>
      </c>
    </row>
    <row r="270" spans="2:15" ht="15.75" thickBot="1" x14ac:dyDescent="0.3">
      <c r="B270" s="5"/>
      <c r="D270" s="19">
        <v>57437.9</v>
      </c>
      <c r="F270" s="19">
        <v>2.6749999999999998</v>
      </c>
      <c r="H270" s="5"/>
      <c r="J270" s="19">
        <v>2306.4859999999999</v>
      </c>
      <c r="L270" s="19">
        <v>0.108</v>
      </c>
    </row>
    <row r="271" spans="2:15" x14ac:dyDescent="0.25">
      <c r="B271" s="5"/>
      <c r="C271" s="8" t="s">
        <v>7</v>
      </c>
      <c r="D271" s="12"/>
      <c r="E271" s="9"/>
      <c r="F271" s="10"/>
      <c r="H271" s="5"/>
      <c r="I271" s="8" t="s">
        <v>7</v>
      </c>
      <c r="J271" s="12"/>
      <c r="K271" s="9"/>
      <c r="L271" s="10"/>
    </row>
    <row r="272" spans="2:15" x14ac:dyDescent="0.25">
      <c r="B272" s="5"/>
      <c r="C272" s="11" t="s">
        <v>1</v>
      </c>
      <c r="D272" s="12"/>
      <c r="E272" s="12"/>
      <c r="F272" s="13"/>
      <c r="H272" s="5"/>
      <c r="I272" s="11" t="s">
        <v>1</v>
      </c>
      <c r="J272" s="12"/>
      <c r="K272" s="12"/>
      <c r="L272" s="13"/>
    </row>
    <row r="273" spans="2:15" x14ac:dyDescent="0.25">
      <c r="B273" s="5"/>
      <c r="C273" s="14"/>
      <c r="D273" t="s">
        <v>2</v>
      </c>
      <c r="F273" s="7" t="s">
        <v>3</v>
      </c>
      <c r="H273" s="5"/>
      <c r="I273" s="14"/>
      <c r="J273" t="s">
        <v>2</v>
      </c>
      <c r="L273" s="7" t="s">
        <v>3</v>
      </c>
    </row>
    <row r="274" spans="2:15" x14ac:dyDescent="0.25">
      <c r="B274" s="5"/>
      <c r="C274" s="14" t="s">
        <v>4</v>
      </c>
      <c r="D274">
        <f>20.245*25</f>
        <v>506.125</v>
      </c>
      <c r="F274" s="20">
        <f>427.873*25</f>
        <v>10696.824999999999</v>
      </c>
      <c r="H274" s="5"/>
      <c r="I274" s="14" t="s">
        <v>4</v>
      </c>
      <c r="J274">
        <v>21.678999999999998</v>
      </c>
      <c r="L274" s="20">
        <v>434.06799999999998</v>
      </c>
    </row>
    <row r="275" spans="2:15" x14ac:dyDescent="0.25">
      <c r="B275" s="5"/>
      <c r="C275" s="14" t="s">
        <v>5</v>
      </c>
      <c r="D275">
        <f>24.607*25</f>
        <v>615.17499999999995</v>
      </c>
      <c r="F275" s="21">
        <f>132.482*25</f>
        <v>3312.05</v>
      </c>
      <c r="H275" s="5"/>
      <c r="I275" s="14" t="s">
        <v>5</v>
      </c>
      <c r="J275">
        <v>24.613</v>
      </c>
      <c r="L275" s="21">
        <v>133.928</v>
      </c>
    </row>
    <row r="276" spans="2:15" ht="15.75" thickBot="1" x14ac:dyDescent="0.3">
      <c r="B276" s="5"/>
      <c r="C276" s="16" t="s">
        <v>6</v>
      </c>
      <c r="D276">
        <f>28.137*25</f>
        <v>703.42499999999995</v>
      </c>
      <c r="E276" s="17"/>
      <c r="F276" s="21">
        <f>116.23*25</f>
        <v>2905.75</v>
      </c>
      <c r="H276" s="5"/>
      <c r="I276" s="16" t="s">
        <v>6</v>
      </c>
      <c r="J276">
        <v>28.137</v>
      </c>
      <c r="K276" s="17"/>
      <c r="L276" s="21">
        <v>117.509</v>
      </c>
    </row>
    <row r="277" spans="2:15" ht="15.75" thickBot="1" x14ac:dyDescent="0.3">
      <c r="B277" s="5"/>
      <c r="D277" s="19">
        <v>1824.7249999999999</v>
      </c>
      <c r="F277" s="19">
        <v>16914.625</v>
      </c>
      <c r="H277" s="5"/>
      <c r="J277" s="19">
        <v>74.429000000000002</v>
      </c>
      <c r="L277" s="19">
        <v>685.505</v>
      </c>
    </row>
    <row r="278" spans="2:15" x14ac:dyDescent="0.25">
      <c r="B278" s="22" t="s">
        <v>8</v>
      </c>
      <c r="C278" s="23"/>
      <c r="D278" s="23"/>
      <c r="E278" s="23">
        <f>D270-J250</f>
        <v>114.05000000000291</v>
      </c>
      <c r="F278" s="7"/>
      <c r="H278" s="22" t="s">
        <v>8</v>
      </c>
      <c r="I278" s="23"/>
      <c r="J278" s="23"/>
      <c r="K278" s="23"/>
      <c r="L278" s="7"/>
    </row>
    <row r="279" spans="2:15" ht="15.75" thickBot="1" x14ac:dyDescent="0.3">
      <c r="B279" s="24" t="s">
        <v>9</v>
      </c>
      <c r="C279" s="25"/>
      <c r="D279" s="25"/>
      <c r="E279" s="25">
        <f>F277-L257</f>
        <v>274.65000000000146</v>
      </c>
      <c r="F279" s="26"/>
      <c r="H279" s="24" t="s">
        <v>9</v>
      </c>
      <c r="I279" s="25"/>
      <c r="J279" s="25"/>
      <c r="K279" s="25"/>
      <c r="L279" s="26"/>
    </row>
    <row r="280" spans="2:15" x14ac:dyDescent="0.25">
      <c r="B280" s="27" t="s">
        <v>10</v>
      </c>
      <c r="C280" s="27"/>
      <c r="D280" s="27"/>
      <c r="E280" s="27">
        <f>D277-J257</f>
        <v>23.524999999999864</v>
      </c>
      <c r="H280" s="27" t="s">
        <v>10</v>
      </c>
      <c r="I280" s="27"/>
      <c r="J280" s="27"/>
      <c r="K280" s="27"/>
    </row>
    <row r="281" spans="2:15" ht="15.75" thickBot="1" x14ac:dyDescent="0.3"/>
    <row r="282" spans="2:15" x14ac:dyDescent="0.25">
      <c r="B282" s="1"/>
      <c r="C282" s="2"/>
      <c r="D282" s="3">
        <v>44631</v>
      </c>
      <c r="E282" s="2"/>
      <c r="F282" s="4"/>
      <c r="H282" s="1"/>
      <c r="I282" s="2"/>
      <c r="J282" s="3">
        <v>44634</v>
      </c>
      <c r="K282" s="2"/>
      <c r="L282" s="4"/>
    </row>
    <row r="283" spans="2:15" x14ac:dyDescent="0.25">
      <c r="B283" s="5"/>
      <c r="D283" s="6"/>
      <c r="F283" s="7"/>
      <c r="H283" s="5"/>
      <c r="J283" s="6"/>
      <c r="L283" s="7"/>
      <c r="O283" t="s">
        <v>81</v>
      </c>
    </row>
    <row r="284" spans="2:15" x14ac:dyDescent="0.25">
      <c r="B284" s="5"/>
      <c r="C284" s="8" t="s">
        <v>0</v>
      </c>
      <c r="D284" s="9"/>
      <c r="E284" s="9"/>
      <c r="F284" s="10"/>
      <c r="H284" s="5"/>
      <c r="I284" s="8" t="s">
        <v>0</v>
      </c>
      <c r="J284" s="9"/>
      <c r="K284" s="9"/>
      <c r="L284" s="10"/>
      <c r="O284" t="s">
        <v>68</v>
      </c>
    </row>
    <row r="285" spans="2:15" x14ac:dyDescent="0.25">
      <c r="B285" s="5"/>
      <c r="C285" s="11" t="s">
        <v>1</v>
      </c>
      <c r="D285" s="12"/>
      <c r="E285" s="12"/>
      <c r="F285" s="13"/>
      <c r="H285" s="5"/>
      <c r="I285" s="11" t="s">
        <v>1</v>
      </c>
      <c r="J285" s="12"/>
      <c r="K285" s="12"/>
      <c r="L285" s="13"/>
      <c r="O285" t="s">
        <v>69</v>
      </c>
    </row>
    <row r="286" spans="2:15" x14ac:dyDescent="0.25">
      <c r="B286" s="5"/>
      <c r="C286" s="14"/>
      <c r="D286" t="s">
        <v>2</v>
      </c>
      <c r="F286" s="7" t="s">
        <v>3</v>
      </c>
      <c r="H286" s="5"/>
      <c r="I286" s="14"/>
      <c r="J286" t="s">
        <v>2</v>
      </c>
      <c r="L286" s="7" t="s">
        <v>3</v>
      </c>
      <c r="O286" t="s">
        <v>70</v>
      </c>
    </row>
    <row r="287" spans="2:15" x14ac:dyDescent="0.25">
      <c r="B287" s="5"/>
      <c r="C287" s="14" t="s">
        <v>4</v>
      </c>
      <c r="D287">
        <v>1604.2139999999999</v>
      </c>
      <c r="F287" s="15">
        <v>1.4999999999999999E-2</v>
      </c>
      <c r="H287" s="5"/>
      <c r="I287" s="14" t="s">
        <v>4</v>
      </c>
      <c r="L287" s="15"/>
    </row>
    <row r="288" spans="2:15" x14ac:dyDescent="0.25">
      <c r="B288" s="5"/>
      <c r="C288" s="14" t="s">
        <v>5</v>
      </c>
      <c r="D288">
        <v>361.81</v>
      </c>
      <c r="F288" s="15">
        <v>3.6999999999999998E-2</v>
      </c>
      <c r="H288" s="5"/>
      <c r="I288" s="14" t="s">
        <v>5</v>
      </c>
      <c r="L288" s="15"/>
    </row>
    <row r="289" spans="2:12" ht="15.75" thickBot="1" x14ac:dyDescent="0.3">
      <c r="B289" s="5"/>
      <c r="C289" s="16" t="s">
        <v>6</v>
      </c>
      <c r="D289">
        <v>354.36900000000003</v>
      </c>
      <c r="E289" s="17"/>
      <c r="F289" s="18">
        <v>5.7000000000000002E-2</v>
      </c>
      <c r="H289" s="5"/>
      <c r="I289" s="16" t="s">
        <v>6</v>
      </c>
      <c r="K289" s="17"/>
      <c r="L289" s="18"/>
    </row>
    <row r="290" spans="2:12" ht="15.75" thickBot="1" x14ac:dyDescent="0.3">
      <c r="B290" s="5"/>
      <c r="D290" s="19">
        <v>2320.393</v>
      </c>
      <c r="F290" s="19">
        <v>0.109</v>
      </c>
      <c r="H290" s="5"/>
      <c r="J290" s="19"/>
      <c r="L290" s="19"/>
    </row>
    <row r="291" spans="2:12" x14ac:dyDescent="0.25">
      <c r="B291" s="5"/>
      <c r="C291" s="8" t="s">
        <v>7</v>
      </c>
      <c r="D291" s="12"/>
      <c r="E291" s="9"/>
      <c r="F291" s="10"/>
      <c r="H291" s="5"/>
      <c r="I291" s="8" t="s">
        <v>7</v>
      </c>
      <c r="J291" s="12"/>
      <c r="K291" s="9"/>
      <c r="L291" s="10"/>
    </row>
    <row r="292" spans="2:12" x14ac:dyDescent="0.25">
      <c r="B292" s="5"/>
      <c r="C292" s="11" t="s">
        <v>1</v>
      </c>
      <c r="D292" s="12"/>
      <c r="E292" s="12"/>
      <c r="F292" s="13"/>
      <c r="H292" s="5"/>
      <c r="I292" s="11" t="s">
        <v>1</v>
      </c>
      <c r="J292" s="12"/>
      <c r="K292" s="12"/>
      <c r="L292" s="13"/>
    </row>
    <row r="293" spans="2:12" x14ac:dyDescent="0.25">
      <c r="B293" s="5"/>
      <c r="C293" s="14"/>
      <c r="D293" t="s">
        <v>2</v>
      </c>
      <c r="F293" s="7" t="s">
        <v>3</v>
      </c>
      <c r="H293" s="5"/>
      <c r="I293" s="14"/>
      <c r="J293" t="s">
        <v>2</v>
      </c>
      <c r="L293" s="7" t="s">
        <v>3</v>
      </c>
    </row>
    <row r="294" spans="2:12" x14ac:dyDescent="0.25">
      <c r="B294" s="5"/>
      <c r="C294" s="14" t="s">
        <v>4</v>
      </c>
      <c r="D294">
        <v>26.82</v>
      </c>
      <c r="F294" s="20">
        <v>440.995</v>
      </c>
      <c r="H294" s="5"/>
      <c r="I294" s="14" t="s">
        <v>4</v>
      </c>
      <c r="L294" s="20"/>
    </row>
    <row r="295" spans="2:12" x14ac:dyDescent="0.25">
      <c r="B295" s="5"/>
      <c r="C295" s="14" t="s">
        <v>5</v>
      </c>
      <c r="D295">
        <v>24.622</v>
      </c>
      <c r="F295" s="21">
        <v>135.29900000000001</v>
      </c>
      <c r="H295" s="5"/>
      <c r="I295" s="14" t="s">
        <v>5</v>
      </c>
      <c r="L295" s="21"/>
    </row>
    <row r="296" spans="2:12" ht="15.75" thickBot="1" x14ac:dyDescent="0.3">
      <c r="B296" s="5"/>
      <c r="C296" s="16" t="s">
        <v>6</v>
      </c>
      <c r="D296">
        <v>28.137</v>
      </c>
      <c r="E296" s="17"/>
      <c r="F296" s="21">
        <v>118.515</v>
      </c>
      <c r="H296" s="5"/>
      <c r="I296" s="16" t="s">
        <v>6</v>
      </c>
      <c r="K296" s="17"/>
      <c r="L296" s="21"/>
    </row>
    <row r="297" spans="2:12" ht="15.75" thickBot="1" x14ac:dyDescent="0.3">
      <c r="B297" s="5"/>
      <c r="D297" s="19">
        <v>79.578999999999994</v>
      </c>
      <c r="F297" s="19">
        <v>694.80899999999997</v>
      </c>
      <c r="H297" s="5"/>
      <c r="J297" s="19"/>
      <c r="L297" s="19"/>
    </row>
    <row r="298" spans="2:12" x14ac:dyDescent="0.25">
      <c r="B298" s="22" t="s">
        <v>8</v>
      </c>
      <c r="C298" s="23"/>
      <c r="D298" s="23"/>
      <c r="E298" s="23"/>
      <c r="F298" s="7"/>
      <c r="H298" s="22" t="s">
        <v>8</v>
      </c>
      <c r="I298" s="23"/>
      <c r="J298" s="23"/>
      <c r="K298" s="23"/>
      <c r="L298" s="7"/>
    </row>
    <row r="299" spans="2:12" ht="15.75" thickBot="1" x14ac:dyDescent="0.3">
      <c r="B299" s="24" t="s">
        <v>9</v>
      </c>
      <c r="C299" s="25"/>
      <c r="D299" s="25"/>
      <c r="E299" s="25"/>
      <c r="F299" s="26"/>
      <c r="H299" s="24" t="s">
        <v>9</v>
      </c>
      <c r="I299" s="25"/>
      <c r="J299" s="25"/>
      <c r="K299" s="25"/>
      <c r="L299" s="26"/>
    </row>
    <row r="300" spans="2:12" x14ac:dyDescent="0.25">
      <c r="B300" s="27" t="s">
        <v>10</v>
      </c>
      <c r="C300" s="27"/>
      <c r="D300" s="27"/>
      <c r="E300" s="27"/>
      <c r="H300" s="27" t="s">
        <v>10</v>
      </c>
      <c r="I300" s="27"/>
      <c r="J300" s="27"/>
      <c r="K300" s="27"/>
    </row>
    <row r="301" spans="2:12" ht="15.75" thickBot="1" x14ac:dyDescent="0.3"/>
    <row r="302" spans="2:12" x14ac:dyDescent="0.25">
      <c r="B302" s="1"/>
      <c r="C302" s="2"/>
      <c r="D302" s="3"/>
      <c r="E302" s="2"/>
      <c r="F302" s="4"/>
      <c r="H302" s="1"/>
      <c r="I302" s="2"/>
      <c r="J302" s="3"/>
      <c r="K302" s="2"/>
      <c r="L302" s="4"/>
    </row>
    <row r="303" spans="2:12" x14ac:dyDescent="0.25">
      <c r="B303" s="5"/>
      <c r="D303" s="6"/>
      <c r="F303" s="7"/>
      <c r="H303" s="5"/>
      <c r="J303" s="6"/>
      <c r="L303" s="7"/>
    </row>
    <row r="304" spans="2:12" x14ac:dyDescent="0.25">
      <c r="B304" s="5"/>
      <c r="C304" s="8" t="s">
        <v>0</v>
      </c>
      <c r="D304" s="9"/>
      <c r="E304" s="9"/>
      <c r="F304" s="10"/>
      <c r="H304" s="5"/>
      <c r="I304" s="8" t="s">
        <v>0</v>
      </c>
      <c r="J304" s="9"/>
      <c r="K304" s="9"/>
      <c r="L304" s="10"/>
    </row>
    <row r="305" spans="2:12" x14ac:dyDescent="0.25">
      <c r="B305" s="5"/>
      <c r="C305" s="11" t="s">
        <v>1</v>
      </c>
      <c r="D305" s="12"/>
      <c r="E305" s="12"/>
      <c r="F305" s="13"/>
      <c r="H305" s="5"/>
      <c r="I305" s="11" t="s">
        <v>1</v>
      </c>
      <c r="J305" s="12"/>
      <c r="K305" s="12"/>
      <c r="L305" s="13"/>
    </row>
    <row r="306" spans="2:12" x14ac:dyDescent="0.25">
      <c r="B306" s="5"/>
      <c r="C306" s="14"/>
      <c r="D306" t="s">
        <v>2</v>
      </c>
      <c r="F306" s="7" t="s">
        <v>3</v>
      </c>
      <c r="H306" s="5"/>
      <c r="I306" s="14"/>
      <c r="J306" t="s">
        <v>2</v>
      </c>
      <c r="L306" s="7" t="s">
        <v>3</v>
      </c>
    </row>
    <row r="307" spans="2:12" x14ac:dyDescent="0.25">
      <c r="B307" s="5"/>
      <c r="C307" s="14" t="s">
        <v>4</v>
      </c>
      <c r="F307" s="15"/>
      <c r="H307" s="5"/>
      <c r="I307" s="14" t="s">
        <v>4</v>
      </c>
      <c r="L307" s="15"/>
    </row>
    <row r="308" spans="2:12" x14ac:dyDescent="0.25">
      <c r="B308" s="5"/>
      <c r="C308" s="14" t="s">
        <v>5</v>
      </c>
      <c r="F308" s="15"/>
      <c r="H308" s="5"/>
      <c r="I308" s="14" t="s">
        <v>5</v>
      </c>
      <c r="L308" s="15"/>
    </row>
    <row r="309" spans="2:12" ht="15.75" thickBot="1" x14ac:dyDescent="0.3">
      <c r="B309" s="5"/>
      <c r="C309" s="16" t="s">
        <v>6</v>
      </c>
      <c r="E309" s="17"/>
      <c r="F309" s="18"/>
      <c r="H309" s="5"/>
      <c r="I309" s="16" t="s">
        <v>6</v>
      </c>
      <c r="K309" s="17"/>
      <c r="L309" s="18"/>
    </row>
    <row r="310" spans="2:12" ht="15.75" thickBot="1" x14ac:dyDescent="0.3">
      <c r="B310" s="5"/>
      <c r="D310" s="19"/>
      <c r="F310" s="19"/>
      <c r="H310" s="5"/>
      <c r="J310" s="19"/>
      <c r="L310" s="19"/>
    </row>
    <row r="311" spans="2:12" x14ac:dyDescent="0.25">
      <c r="B311" s="5"/>
      <c r="C311" s="8" t="s">
        <v>7</v>
      </c>
      <c r="D311" s="12"/>
      <c r="E311" s="9"/>
      <c r="F311" s="10"/>
      <c r="H311" s="5"/>
      <c r="I311" s="8" t="s">
        <v>7</v>
      </c>
      <c r="J311" s="12"/>
      <c r="K311" s="9"/>
      <c r="L311" s="10"/>
    </row>
    <row r="312" spans="2:12" x14ac:dyDescent="0.25">
      <c r="B312" s="5"/>
      <c r="C312" s="11" t="s">
        <v>1</v>
      </c>
      <c r="D312" s="12"/>
      <c r="E312" s="12"/>
      <c r="F312" s="13"/>
      <c r="H312" s="5"/>
      <c r="I312" s="11" t="s">
        <v>1</v>
      </c>
      <c r="J312" s="12"/>
      <c r="K312" s="12"/>
      <c r="L312" s="13"/>
    </row>
    <row r="313" spans="2:12" x14ac:dyDescent="0.25">
      <c r="B313" s="5"/>
      <c r="C313" s="14"/>
      <c r="D313" t="s">
        <v>2</v>
      </c>
      <c r="F313" s="7" t="s">
        <v>3</v>
      </c>
      <c r="H313" s="5"/>
      <c r="I313" s="14"/>
      <c r="J313" t="s">
        <v>2</v>
      </c>
      <c r="L313" s="7" t="s">
        <v>3</v>
      </c>
    </row>
    <row r="314" spans="2:12" x14ac:dyDescent="0.25">
      <c r="B314" s="5"/>
      <c r="C314" s="14" t="s">
        <v>4</v>
      </c>
      <c r="F314" s="20"/>
      <c r="H314" s="5"/>
      <c r="I314" s="14" t="s">
        <v>4</v>
      </c>
      <c r="L314" s="20"/>
    </row>
    <row r="315" spans="2:12" x14ac:dyDescent="0.25">
      <c r="B315" s="5"/>
      <c r="C315" s="14" t="s">
        <v>5</v>
      </c>
      <c r="F315" s="21"/>
      <c r="H315" s="5"/>
      <c r="I315" s="14" t="s">
        <v>5</v>
      </c>
      <c r="L315" s="21"/>
    </row>
    <row r="316" spans="2:12" ht="15.75" thickBot="1" x14ac:dyDescent="0.3">
      <c r="B316" s="5"/>
      <c r="C316" s="16" t="s">
        <v>6</v>
      </c>
      <c r="E316" s="17"/>
      <c r="F316" s="21"/>
      <c r="H316" s="5"/>
      <c r="I316" s="16" t="s">
        <v>6</v>
      </c>
      <c r="K316" s="17"/>
      <c r="L316" s="21"/>
    </row>
    <row r="317" spans="2:12" ht="15.75" thickBot="1" x14ac:dyDescent="0.3">
      <c r="B317" s="5"/>
      <c r="D317" s="19"/>
      <c r="F317" s="19"/>
      <c r="H317" s="5"/>
      <c r="J317" s="19"/>
      <c r="L317" s="19"/>
    </row>
    <row r="318" spans="2:12" x14ac:dyDescent="0.25">
      <c r="B318" s="22" t="s">
        <v>8</v>
      </c>
      <c r="C318" s="23"/>
      <c r="D318" s="23"/>
      <c r="E318" s="23"/>
      <c r="F318" s="7"/>
      <c r="H318" s="22" t="s">
        <v>8</v>
      </c>
      <c r="I318" s="23"/>
      <c r="J318" s="23"/>
      <c r="K318" s="23"/>
      <c r="L318" s="7"/>
    </row>
    <row r="319" spans="2:12" ht="15.75" thickBot="1" x14ac:dyDescent="0.3">
      <c r="B319" s="24" t="s">
        <v>9</v>
      </c>
      <c r="C319" s="25"/>
      <c r="D319" s="25"/>
      <c r="E319" s="25"/>
      <c r="F319" s="26"/>
      <c r="H319" s="24" t="s">
        <v>9</v>
      </c>
      <c r="I319" s="25"/>
      <c r="J319" s="25"/>
      <c r="K319" s="25"/>
      <c r="L319" s="26"/>
    </row>
    <row r="320" spans="2:12" x14ac:dyDescent="0.25">
      <c r="B320" s="27" t="s">
        <v>10</v>
      </c>
      <c r="C320" s="27"/>
      <c r="D320" s="27"/>
      <c r="E320" s="27"/>
      <c r="H320" s="27" t="s">
        <v>10</v>
      </c>
      <c r="I320" s="27"/>
      <c r="J320" s="27"/>
      <c r="K320" s="27"/>
    </row>
    <row r="321" spans="2:12" ht="15.75" thickBot="1" x14ac:dyDescent="0.3"/>
    <row r="322" spans="2:12" x14ac:dyDescent="0.25">
      <c r="B322" s="1"/>
      <c r="C322" s="2"/>
      <c r="D322" s="3"/>
      <c r="E322" s="2"/>
      <c r="F322" s="4"/>
      <c r="H322" s="1"/>
      <c r="I322" s="2"/>
      <c r="J322" s="3"/>
      <c r="K322" s="2"/>
      <c r="L322" s="4"/>
    </row>
    <row r="323" spans="2:12" x14ac:dyDescent="0.25">
      <c r="B323" s="5"/>
      <c r="D323" s="6"/>
      <c r="F323" s="7"/>
      <c r="H323" s="5"/>
      <c r="J323" s="6"/>
      <c r="L323" s="7"/>
    </row>
    <row r="324" spans="2:12" x14ac:dyDescent="0.25">
      <c r="B324" s="5"/>
      <c r="C324" s="8" t="s">
        <v>0</v>
      </c>
      <c r="D324" s="9"/>
      <c r="E324" s="9"/>
      <c r="F324" s="10"/>
      <c r="H324" s="5"/>
      <c r="I324" s="8" t="s">
        <v>0</v>
      </c>
      <c r="J324" s="9"/>
      <c r="K324" s="9"/>
      <c r="L324" s="10"/>
    </row>
    <row r="325" spans="2:12" x14ac:dyDescent="0.25">
      <c r="B325" s="5"/>
      <c r="C325" s="11" t="s">
        <v>1</v>
      </c>
      <c r="D325" s="12"/>
      <c r="E325" s="12"/>
      <c r="F325" s="13"/>
      <c r="H325" s="5"/>
      <c r="I325" s="11" t="s">
        <v>1</v>
      </c>
      <c r="J325" s="12"/>
      <c r="K325" s="12"/>
      <c r="L325" s="13"/>
    </row>
    <row r="326" spans="2:12" x14ac:dyDescent="0.25">
      <c r="B326" s="5"/>
      <c r="C326" s="14"/>
      <c r="D326" t="s">
        <v>2</v>
      </c>
      <c r="F326" s="7" t="s">
        <v>3</v>
      </c>
      <c r="H326" s="5"/>
      <c r="I326" s="14"/>
      <c r="J326" t="s">
        <v>2</v>
      </c>
      <c r="L326" s="7" t="s">
        <v>3</v>
      </c>
    </row>
    <row r="327" spans="2:12" x14ac:dyDescent="0.25">
      <c r="B327" s="5"/>
      <c r="C327" s="14" t="s">
        <v>4</v>
      </c>
      <c r="F327" s="15"/>
      <c r="H327" s="5"/>
      <c r="I327" s="14" t="s">
        <v>4</v>
      </c>
      <c r="L327" s="15"/>
    </row>
    <row r="328" spans="2:12" x14ac:dyDescent="0.25">
      <c r="B328" s="5"/>
      <c r="C328" s="14" t="s">
        <v>5</v>
      </c>
      <c r="F328" s="15"/>
      <c r="H328" s="5"/>
      <c r="I328" s="14" t="s">
        <v>5</v>
      </c>
      <c r="L328" s="15"/>
    </row>
    <row r="329" spans="2:12" ht="15.75" thickBot="1" x14ac:dyDescent="0.3">
      <c r="B329" s="5"/>
      <c r="C329" s="16" t="s">
        <v>6</v>
      </c>
      <c r="E329" s="17"/>
      <c r="F329" s="18"/>
      <c r="H329" s="5"/>
      <c r="I329" s="16" t="s">
        <v>6</v>
      </c>
      <c r="K329" s="17"/>
      <c r="L329" s="18"/>
    </row>
    <row r="330" spans="2:12" ht="15.75" thickBot="1" x14ac:dyDescent="0.3">
      <c r="B330" s="5"/>
      <c r="D330" s="19"/>
      <c r="F330" s="19"/>
      <c r="H330" s="5"/>
      <c r="J330" s="19"/>
      <c r="L330" s="19"/>
    </row>
    <row r="331" spans="2:12" x14ac:dyDescent="0.25">
      <c r="B331" s="5"/>
      <c r="C331" s="8" t="s">
        <v>7</v>
      </c>
      <c r="D331" s="12"/>
      <c r="E331" s="9"/>
      <c r="F331" s="10"/>
      <c r="H331" s="5"/>
      <c r="I331" s="8" t="s">
        <v>7</v>
      </c>
      <c r="J331" s="12"/>
      <c r="K331" s="9"/>
      <c r="L331" s="10"/>
    </row>
    <row r="332" spans="2:12" x14ac:dyDescent="0.25">
      <c r="B332" s="5"/>
      <c r="C332" s="11" t="s">
        <v>1</v>
      </c>
      <c r="D332" s="12"/>
      <c r="E332" s="12"/>
      <c r="F332" s="13"/>
      <c r="H332" s="5"/>
      <c r="I332" s="11" t="s">
        <v>1</v>
      </c>
      <c r="J332" s="12"/>
      <c r="K332" s="12"/>
      <c r="L332" s="13"/>
    </row>
    <row r="333" spans="2:12" x14ac:dyDescent="0.25">
      <c r="B333" s="5"/>
      <c r="C333" s="14"/>
      <c r="D333" t="s">
        <v>2</v>
      </c>
      <c r="F333" s="7" t="s">
        <v>3</v>
      </c>
      <c r="H333" s="5"/>
      <c r="I333" s="14"/>
      <c r="J333" t="s">
        <v>2</v>
      </c>
      <c r="L333" s="7" t="s">
        <v>3</v>
      </c>
    </row>
    <row r="334" spans="2:12" x14ac:dyDescent="0.25">
      <c r="B334" s="5"/>
      <c r="C334" s="14" t="s">
        <v>4</v>
      </c>
      <c r="F334" s="20"/>
      <c r="H334" s="5"/>
      <c r="I334" s="14" t="s">
        <v>4</v>
      </c>
      <c r="L334" s="20"/>
    </row>
    <row r="335" spans="2:12" x14ac:dyDescent="0.25">
      <c r="B335" s="5"/>
      <c r="C335" s="14" t="s">
        <v>5</v>
      </c>
      <c r="F335" s="21"/>
      <c r="H335" s="5"/>
      <c r="I335" s="14" t="s">
        <v>5</v>
      </c>
      <c r="L335" s="21"/>
    </row>
    <row r="336" spans="2:12" ht="15.75" thickBot="1" x14ac:dyDescent="0.3">
      <c r="B336" s="5"/>
      <c r="C336" s="16" t="s">
        <v>6</v>
      </c>
      <c r="E336" s="17"/>
      <c r="F336" s="21"/>
      <c r="H336" s="5"/>
      <c r="I336" s="16" t="s">
        <v>6</v>
      </c>
      <c r="K336" s="17"/>
      <c r="L336" s="21"/>
    </row>
    <row r="337" spans="2:12" ht="15.75" thickBot="1" x14ac:dyDescent="0.3">
      <c r="B337" s="5"/>
      <c r="D337" s="19"/>
      <c r="F337" s="19"/>
      <c r="H337" s="5"/>
      <c r="J337" s="19"/>
      <c r="L337" s="19"/>
    </row>
    <row r="338" spans="2:12" x14ac:dyDescent="0.25">
      <c r="B338" s="22" t="s">
        <v>8</v>
      </c>
      <c r="C338" s="23"/>
      <c r="D338" s="23"/>
      <c r="E338" s="23"/>
      <c r="F338" s="7"/>
      <c r="H338" s="22" t="s">
        <v>8</v>
      </c>
      <c r="I338" s="23"/>
      <c r="J338" s="23"/>
      <c r="K338" s="23"/>
      <c r="L338" s="7"/>
    </row>
    <row r="339" spans="2:12" ht="15.75" thickBot="1" x14ac:dyDescent="0.3">
      <c r="B339" s="24" t="s">
        <v>9</v>
      </c>
      <c r="C339" s="25"/>
      <c r="D339" s="25"/>
      <c r="E339" s="25"/>
      <c r="F339" s="26"/>
      <c r="H339" s="24" t="s">
        <v>9</v>
      </c>
      <c r="I339" s="25"/>
      <c r="J339" s="25"/>
      <c r="K339" s="25"/>
      <c r="L339" s="26"/>
    </row>
    <row r="340" spans="2:12" x14ac:dyDescent="0.25">
      <c r="B340" s="27" t="s">
        <v>10</v>
      </c>
      <c r="C340" s="27"/>
      <c r="D340" s="27"/>
      <c r="E340" s="27"/>
      <c r="H340" s="27" t="s">
        <v>10</v>
      </c>
      <c r="I340" s="27"/>
      <c r="J340" s="27"/>
      <c r="K340" s="27"/>
    </row>
    <row r="341" spans="2:12" ht="15.75" thickBot="1" x14ac:dyDescent="0.3"/>
    <row r="342" spans="2:12" x14ac:dyDescent="0.25">
      <c r="B342" s="1"/>
      <c r="C342" s="2"/>
      <c r="D342" s="3"/>
      <c r="E342" s="2"/>
      <c r="F342" s="4"/>
      <c r="H342" s="1"/>
      <c r="I342" s="2"/>
      <c r="J342" s="3"/>
      <c r="K342" s="2"/>
      <c r="L342" s="4"/>
    </row>
    <row r="343" spans="2:12" x14ac:dyDescent="0.25">
      <c r="B343" s="5"/>
      <c r="D343" s="6"/>
      <c r="F343" s="7"/>
      <c r="H343" s="5"/>
      <c r="J343" s="6"/>
      <c r="L343" s="7"/>
    </row>
    <row r="344" spans="2:12" x14ac:dyDescent="0.25">
      <c r="B344" s="5"/>
      <c r="C344" s="8" t="s">
        <v>0</v>
      </c>
      <c r="D344" s="9"/>
      <c r="E344" s="9"/>
      <c r="F344" s="10"/>
      <c r="H344" s="5"/>
      <c r="I344" s="8" t="s">
        <v>0</v>
      </c>
      <c r="J344" s="9"/>
      <c r="K344" s="9"/>
      <c r="L344" s="10"/>
    </row>
    <row r="345" spans="2:12" x14ac:dyDescent="0.25">
      <c r="B345" s="5"/>
      <c r="C345" s="11" t="s">
        <v>1</v>
      </c>
      <c r="D345" s="12"/>
      <c r="E345" s="12"/>
      <c r="F345" s="13"/>
      <c r="H345" s="5"/>
      <c r="I345" s="11" t="s">
        <v>1</v>
      </c>
      <c r="J345" s="12"/>
      <c r="K345" s="12"/>
      <c r="L345" s="13"/>
    </row>
    <row r="346" spans="2:12" x14ac:dyDescent="0.25">
      <c r="B346" s="5"/>
      <c r="C346" s="14"/>
      <c r="D346" t="s">
        <v>2</v>
      </c>
      <c r="F346" s="7" t="s">
        <v>3</v>
      </c>
      <c r="H346" s="5"/>
      <c r="I346" s="14"/>
      <c r="J346" t="s">
        <v>2</v>
      </c>
      <c r="L346" s="7" t="s">
        <v>3</v>
      </c>
    </row>
    <row r="347" spans="2:12" x14ac:dyDescent="0.25">
      <c r="B347" s="5"/>
      <c r="C347" s="14" t="s">
        <v>4</v>
      </c>
      <c r="F347" s="15"/>
      <c r="H347" s="5"/>
      <c r="I347" s="14" t="s">
        <v>4</v>
      </c>
      <c r="L347" s="15"/>
    </row>
    <row r="348" spans="2:12" x14ac:dyDescent="0.25">
      <c r="B348" s="5"/>
      <c r="C348" s="14" t="s">
        <v>5</v>
      </c>
      <c r="F348" s="15"/>
      <c r="H348" s="5"/>
      <c r="I348" s="14" t="s">
        <v>5</v>
      </c>
      <c r="L348" s="15"/>
    </row>
    <row r="349" spans="2:12" ht="15.75" thickBot="1" x14ac:dyDescent="0.3">
      <c r="B349" s="5"/>
      <c r="C349" s="16" t="s">
        <v>6</v>
      </c>
      <c r="E349" s="17"/>
      <c r="F349" s="18"/>
      <c r="H349" s="5"/>
      <c r="I349" s="16" t="s">
        <v>6</v>
      </c>
      <c r="K349" s="17"/>
      <c r="L349" s="18"/>
    </row>
    <row r="350" spans="2:12" ht="15.75" thickBot="1" x14ac:dyDescent="0.3">
      <c r="B350" s="5"/>
      <c r="D350" s="19"/>
      <c r="F350" s="19"/>
      <c r="H350" s="5"/>
      <c r="J350" s="19"/>
      <c r="L350" s="19"/>
    </row>
    <row r="351" spans="2:12" x14ac:dyDescent="0.25">
      <c r="B351" s="5"/>
      <c r="C351" s="8" t="s">
        <v>7</v>
      </c>
      <c r="D351" s="12"/>
      <c r="E351" s="9"/>
      <c r="F351" s="10"/>
      <c r="H351" s="5"/>
      <c r="I351" s="8" t="s">
        <v>7</v>
      </c>
      <c r="J351" s="12"/>
      <c r="K351" s="9"/>
      <c r="L351" s="10"/>
    </row>
    <row r="352" spans="2:12" x14ac:dyDescent="0.25">
      <c r="B352" s="5"/>
      <c r="C352" s="11" t="s">
        <v>1</v>
      </c>
      <c r="D352" s="12"/>
      <c r="E352" s="12"/>
      <c r="F352" s="13"/>
      <c r="H352" s="5"/>
      <c r="I352" s="11" t="s">
        <v>1</v>
      </c>
      <c r="J352" s="12"/>
      <c r="K352" s="12"/>
      <c r="L352" s="13"/>
    </row>
    <row r="353" spans="2:12" x14ac:dyDescent="0.25">
      <c r="B353" s="5"/>
      <c r="C353" s="14"/>
      <c r="D353" t="s">
        <v>2</v>
      </c>
      <c r="F353" s="7" t="s">
        <v>3</v>
      </c>
      <c r="H353" s="5"/>
      <c r="I353" s="14"/>
      <c r="J353" t="s">
        <v>2</v>
      </c>
      <c r="L353" s="7" t="s">
        <v>3</v>
      </c>
    </row>
    <row r="354" spans="2:12" x14ac:dyDescent="0.25">
      <c r="B354" s="5"/>
      <c r="C354" s="14" t="s">
        <v>4</v>
      </c>
      <c r="F354" s="20"/>
      <c r="H354" s="5"/>
      <c r="I354" s="14" t="s">
        <v>4</v>
      </c>
      <c r="L354" s="20"/>
    </row>
    <row r="355" spans="2:12" x14ac:dyDescent="0.25">
      <c r="B355" s="5"/>
      <c r="C355" s="14" t="s">
        <v>5</v>
      </c>
      <c r="F355" s="21"/>
      <c r="H355" s="5"/>
      <c r="I355" s="14" t="s">
        <v>5</v>
      </c>
      <c r="L355" s="21"/>
    </row>
    <row r="356" spans="2:12" ht="15.75" thickBot="1" x14ac:dyDescent="0.3">
      <c r="B356" s="5"/>
      <c r="C356" s="16" t="s">
        <v>6</v>
      </c>
      <c r="E356" s="17"/>
      <c r="F356" s="21"/>
      <c r="H356" s="5"/>
      <c r="I356" s="16" t="s">
        <v>6</v>
      </c>
      <c r="K356" s="17"/>
      <c r="L356" s="21"/>
    </row>
    <row r="357" spans="2:12" ht="15.75" thickBot="1" x14ac:dyDescent="0.3">
      <c r="B357" s="5"/>
      <c r="D357" s="19"/>
      <c r="F357" s="19"/>
      <c r="H357" s="5"/>
      <c r="J357" s="19"/>
      <c r="L357" s="19"/>
    </row>
    <row r="358" spans="2:12" x14ac:dyDescent="0.25">
      <c r="B358" s="22" t="s">
        <v>8</v>
      </c>
      <c r="C358" s="23"/>
      <c r="D358" s="23"/>
      <c r="E358" s="23"/>
      <c r="F358" s="7"/>
      <c r="H358" s="22" t="s">
        <v>8</v>
      </c>
      <c r="I358" s="23"/>
      <c r="J358" s="23"/>
      <c r="K358" s="23"/>
      <c r="L358" s="7"/>
    </row>
    <row r="359" spans="2:12" ht="15.75" thickBot="1" x14ac:dyDescent="0.3">
      <c r="B359" s="24" t="s">
        <v>9</v>
      </c>
      <c r="C359" s="25"/>
      <c r="D359" s="25"/>
      <c r="E359" s="25"/>
      <c r="F359" s="26"/>
      <c r="H359" s="24" t="s">
        <v>9</v>
      </c>
      <c r="I359" s="25"/>
      <c r="J359" s="25"/>
      <c r="K359" s="25"/>
      <c r="L359" s="26"/>
    </row>
    <row r="360" spans="2:12" x14ac:dyDescent="0.25">
      <c r="B360" s="27" t="s">
        <v>10</v>
      </c>
      <c r="C360" s="27"/>
      <c r="D360" s="27"/>
      <c r="E360" s="27"/>
      <c r="H360" s="27" t="s">
        <v>10</v>
      </c>
      <c r="I360" s="27"/>
      <c r="J360" s="27"/>
      <c r="K360" s="27"/>
    </row>
    <row r="361" spans="2:12" ht="15.75" thickBot="1" x14ac:dyDescent="0.3"/>
    <row r="362" spans="2:12" x14ac:dyDescent="0.25">
      <c r="B362" s="1"/>
      <c r="C362" s="2"/>
      <c r="D362" s="3"/>
      <c r="E362" s="2"/>
      <c r="F362" s="4"/>
      <c r="H362" s="1"/>
      <c r="I362" s="2"/>
      <c r="J362" s="3"/>
      <c r="K362" s="2"/>
      <c r="L362" s="4"/>
    </row>
    <row r="363" spans="2:12" x14ac:dyDescent="0.25">
      <c r="B363" s="5"/>
      <c r="D363" s="6"/>
      <c r="F363" s="7"/>
      <c r="H363" s="5"/>
      <c r="J363" s="6"/>
      <c r="L363" s="7"/>
    </row>
    <row r="364" spans="2:12" x14ac:dyDescent="0.25">
      <c r="B364" s="5"/>
      <c r="C364" s="8" t="s">
        <v>0</v>
      </c>
      <c r="D364" s="9"/>
      <c r="E364" s="9"/>
      <c r="F364" s="10"/>
      <c r="H364" s="5"/>
      <c r="I364" s="8" t="s">
        <v>0</v>
      </c>
      <c r="J364" s="9"/>
      <c r="K364" s="9"/>
      <c r="L364" s="10"/>
    </row>
    <row r="365" spans="2:12" x14ac:dyDescent="0.25">
      <c r="B365" s="5"/>
      <c r="C365" s="11" t="s">
        <v>1</v>
      </c>
      <c r="D365" s="12"/>
      <c r="E365" s="12"/>
      <c r="F365" s="13"/>
      <c r="H365" s="5"/>
      <c r="I365" s="11" t="s">
        <v>1</v>
      </c>
      <c r="J365" s="12"/>
      <c r="K365" s="12"/>
      <c r="L365" s="13"/>
    </row>
    <row r="366" spans="2:12" x14ac:dyDescent="0.25">
      <c r="B366" s="5"/>
      <c r="C366" s="14"/>
      <c r="D366" t="s">
        <v>2</v>
      </c>
      <c r="F366" s="7" t="s">
        <v>3</v>
      </c>
      <c r="H366" s="5"/>
      <c r="I366" s="14"/>
      <c r="J366" t="s">
        <v>2</v>
      </c>
      <c r="L366" s="7" t="s">
        <v>3</v>
      </c>
    </row>
    <row r="367" spans="2:12" x14ac:dyDescent="0.25">
      <c r="B367" s="5"/>
      <c r="C367" s="14" t="s">
        <v>4</v>
      </c>
      <c r="F367" s="15"/>
      <c r="H367" s="5"/>
      <c r="I367" s="14" t="s">
        <v>4</v>
      </c>
      <c r="L367" s="15"/>
    </row>
    <row r="368" spans="2:12" x14ac:dyDescent="0.25">
      <c r="B368" s="5"/>
      <c r="C368" s="14" t="s">
        <v>5</v>
      </c>
      <c r="F368" s="15"/>
      <c r="H368" s="5"/>
      <c r="I368" s="14" t="s">
        <v>5</v>
      </c>
      <c r="L368" s="15"/>
    </row>
    <row r="369" spans="2:12" ht="15.75" thickBot="1" x14ac:dyDescent="0.3">
      <c r="B369" s="5"/>
      <c r="C369" s="16" t="s">
        <v>6</v>
      </c>
      <c r="E369" s="17"/>
      <c r="F369" s="18"/>
      <c r="H369" s="5"/>
      <c r="I369" s="16" t="s">
        <v>6</v>
      </c>
      <c r="K369" s="17"/>
      <c r="L369" s="18"/>
    </row>
    <row r="370" spans="2:12" ht="15.75" thickBot="1" x14ac:dyDescent="0.3">
      <c r="B370" s="5"/>
      <c r="D370" s="19"/>
      <c r="F370" s="19"/>
      <c r="H370" s="5"/>
      <c r="J370" s="19"/>
      <c r="L370" s="19"/>
    </row>
    <row r="371" spans="2:12" x14ac:dyDescent="0.25">
      <c r="B371" s="5"/>
      <c r="C371" s="8" t="s">
        <v>7</v>
      </c>
      <c r="D371" s="12"/>
      <c r="E371" s="9"/>
      <c r="F371" s="10"/>
      <c r="H371" s="5"/>
      <c r="I371" s="8" t="s">
        <v>7</v>
      </c>
      <c r="J371" s="12"/>
      <c r="K371" s="9"/>
      <c r="L371" s="10"/>
    </row>
    <row r="372" spans="2:12" x14ac:dyDescent="0.25">
      <c r="B372" s="5"/>
      <c r="C372" s="11" t="s">
        <v>1</v>
      </c>
      <c r="D372" s="12"/>
      <c r="E372" s="12"/>
      <c r="F372" s="13"/>
      <c r="H372" s="5"/>
      <c r="I372" s="11" t="s">
        <v>1</v>
      </c>
      <c r="J372" s="12"/>
      <c r="K372" s="12"/>
      <c r="L372" s="13"/>
    </row>
    <row r="373" spans="2:12" x14ac:dyDescent="0.25">
      <c r="B373" s="5"/>
      <c r="C373" s="14"/>
      <c r="D373" t="s">
        <v>2</v>
      </c>
      <c r="F373" s="7" t="s">
        <v>3</v>
      </c>
      <c r="H373" s="5"/>
      <c r="I373" s="14"/>
      <c r="J373" t="s">
        <v>2</v>
      </c>
      <c r="L373" s="7" t="s">
        <v>3</v>
      </c>
    </row>
    <row r="374" spans="2:12" x14ac:dyDescent="0.25">
      <c r="B374" s="5"/>
      <c r="C374" s="14" t="s">
        <v>4</v>
      </c>
      <c r="F374" s="20"/>
      <c r="H374" s="5"/>
      <c r="I374" s="14" t="s">
        <v>4</v>
      </c>
      <c r="L374" s="20"/>
    </row>
    <row r="375" spans="2:12" x14ac:dyDescent="0.25">
      <c r="B375" s="5"/>
      <c r="C375" s="14" t="s">
        <v>5</v>
      </c>
      <c r="F375" s="21"/>
      <c r="H375" s="5"/>
      <c r="I375" s="14" t="s">
        <v>5</v>
      </c>
      <c r="L375" s="21"/>
    </row>
    <row r="376" spans="2:12" ht="15.75" thickBot="1" x14ac:dyDescent="0.3">
      <c r="B376" s="5"/>
      <c r="C376" s="16" t="s">
        <v>6</v>
      </c>
      <c r="E376" s="17"/>
      <c r="F376" s="21"/>
      <c r="H376" s="5"/>
      <c r="I376" s="16" t="s">
        <v>6</v>
      </c>
      <c r="K376" s="17"/>
      <c r="L376" s="21"/>
    </row>
    <row r="377" spans="2:12" ht="15.75" thickBot="1" x14ac:dyDescent="0.3">
      <c r="B377" s="5"/>
      <c r="D377" s="19"/>
      <c r="F377" s="19"/>
      <c r="H377" s="5"/>
      <c r="J377" s="19"/>
      <c r="L377" s="19"/>
    </row>
    <row r="378" spans="2:12" x14ac:dyDescent="0.25">
      <c r="B378" s="22" t="s">
        <v>8</v>
      </c>
      <c r="C378" s="23"/>
      <c r="D378" s="23"/>
      <c r="E378" s="23"/>
      <c r="F378" s="7"/>
      <c r="H378" s="22" t="s">
        <v>8</v>
      </c>
      <c r="I378" s="23"/>
      <c r="J378" s="23"/>
      <c r="K378" s="23"/>
      <c r="L378" s="7"/>
    </row>
    <row r="379" spans="2:12" ht="15.75" thickBot="1" x14ac:dyDescent="0.3">
      <c r="B379" s="24" t="s">
        <v>9</v>
      </c>
      <c r="C379" s="25"/>
      <c r="D379" s="25"/>
      <c r="E379" s="25"/>
      <c r="F379" s="26"/>
      <c r="H379" s="24" t="s">
        <v>9</v>
      </c>
      <c r="I379" s="25"/>
      <c r="J379" s="25"/>
      <c r="K379" s="25"/>
      <c r="L379" s="26"/>
    </row>
    <row r="380" spans="2:12" x14ac:dyDescent="0.25">
      <c r="B380" s="27" t="s">
        <v>10</v>
      </c>
      <c r="C380" s="27"/>
      <c r="D380" s="27"/>
      <c r="E380" s="27"/>
      <c r="H380" s="27" t="s">
        <v>10</v>
      </c>
      <c r="I380" s="27"/>
      <c r="J380" s="27"/>
      <c r="K380" s="27"/>
    </row>
    <row r="381" spans="2:12" ht="15.75" thickBot="1" x14ac:dyDescent="0.3"/>
    <row r="382" spans="2:12" x14ac:dyDescent="0.25">
      <c r="B382" s="1"/>
      <c r="C382" s="2"/>
      <c r="D382" s="3"/>
      <c r="E382" s="2"/>
      <c r="F382" s="4"/>
      <c r="H382" s="1"/>
      <c r="I382" s="2"/>
      <c r="J382" s="3"/>
      <c r="K382" s="2"/>
      <c r="L382" s="4"/>
    </row>
    <row r="383" spans="2:12" x14ac:dyDescent="0.25">
      <c r="B383" s="5"/>
      <c r="D383" s="6"/>
      <c r="F383" s="7"/>
      <c r="H383" s="5"/>
      <c r="J383" s="6"/>
      <c r="L383" s="7"/>
    </row>
    <row r="384" spans="2:12" x14ac:dyDescent="0.25">
      <c r="B384" s="5"/>
      <c r="C384" s="8" t="s">
        <v>0</v>
      </c>
      <c r="D384" s="9"/>
      <c r="E384" s="9"/>
      <c r="F384" s="10"/>
      <c r="H384" s="5"/>
      <c r="I384" s="8" t="s">
        <v>0</v>
      </c>
      <c r="J384" s="9"/>
      <c r="K384" s="9"/>
      <c r="L384" s="10"/>
    </row>
    <row r="385" spans="2:12" x14ac:dyDescent="0.25">
      <c r="B385" s="5"/>
      <c r="C385" s="11" t="s">
        <v>1</v>
      </c>
      <c r="D385" s="12"/>
      <c r="E385" s="12"/>
      <c r="F385" s="13"/>
      <c r="H385" s="5"/>
      <c r="I385" s="11" t="s">
        <v>1</v>
      </c>
      <c r="J385" s="12"/>
      <c r="K385" s="12"/>
      <c r="L385" s="13"/>
    </row>
    <row r="386" spans="2:12" x14ac:dyDescent="0.25">
      <c r="B386" s="5"/>
      <c r="C386" s="14"/>
      <c r="D386" t="s">
        <v>2</v>
      </c>
      <c r="F386" s="7" t="s">
        <v>3</v>
      </c>
      <c r="H386" s="5"/>
      <c r="I386" s="14"/>
      <c r="J386" t="s">
        <v>2</v>
      </c>
      <c r="L386" s="7" t="s">
        <v>3</v>
      </c>
    </row>
    <row r="387" spans="2:12" x14ac:dyDescent="0.25">
      <c r="B387" s="5"/>
      <c r="C387" s="14" t="s">
        <v>4</v>
      </c>
      <c r="F387" s="15"/>
      <c r="H387" s="5"/>
      <c r="I387" s="14" t="s">
        <v>4</v>
      </c>
      <c r="L387" s="15"/>
    </row>
    <row r="388" spans="2:12" x14ac:dyDescent="0.25">
      <c r="B388" s="5"/>
      <c r="C388" s="14" t="s">
        <v>5</v>
      </c>
      <c r="F388" s="15"/>
      <c r="H388" s="5"/>
      <c r="I388" s="14" t="s">
        <v>5</v>
      </c>
      <c r="L388" s="15"/>
    </row>
    <row r="389" spans="2:12" ht="15.75" thickBot="1" x14ac:dyDescent="0.3">
      <c r="B389" s="5"/>
      <c r="C389" s="16" t="s">
        <v>6</v>
      </c>
      <c r="E389" s="17"/>
      <c r="F389" s="18"/>
      <c r="H389" s="5"/>
      <c r="I389" s="16" t="s">
        <v>6</v>
      </c>
      <c r="K389" s="17"/>
      <c r="L389" s="18"/>
    </row>
    <row r="390" spans="2:12" ht="15.75" thickBot="1" x14ac:dyDescent="0.3">
      <c r="B390" s="5"/>
      <c r="D390" s="19"/>
      <c r="F390" s="19"/>
      <c r="H390" s="5"/>
      <c r="J390" s="19"/>
      <c r="L390" s="19"/>
    </row>
    <row r="391" spans="2:12" x14ac:dyDescent="0.25">
      <c r="B391" s="5"/>
      <c r="C391" s="8" t="s">
        <v>7</v>
      </c>
      <c r="D391" s="12"/>
      <c r="E391" s="9"/>
      <c r="F391" s="10"/>
      <c r="H391" s="5"/>
      <c r="I391" s="8" t="s">
        <v>7</v>
      </c>
      <c r="J391" s="12"/>
      <c r="K391" s="9"/>
      <c r="L391" s="10"/>
    </row>
    <row r="392" spans="2:12" x14ac:dyDescent="0.25">
      <c r="B392" s="5"/>
      <c r="C392" s="11" t="s">
        <v>1</v>
      </c>
      <c r="D392" s="12"/>
      <c r="E392" s="12"/>
      <c r="F392" s="13"/>
      <c r="H392" s="5"/>
      <c r="I392" s="11" t="s">
        <v>1</v>
      </c>
      <c r="J392" s="12"/>
      <c r="K392" s="12"/>
      <c r="L392" s="13"/>
    </row>
    <row r="393" spans="2:12" x14ac:dyDescent="0.25">
      <c r="B393" s="5"/>
      <c r="C393" s="14"/>
      <c r="D393" t="s">
        <v>2</v>
      </c>
      <c r="F393" s="7" t="s">
        <v>3</v>
      </c>
      <c r="H393" s="5"/>
      <c r="I393" s="14"/>
      <c r="J393" t="s">
        <v>2</v>
      </c>
      <c r="L393" s="7" t="s">
        <v>3</v>
      </c>
    </row>
    <row r="394" spans="2:12" x14ac:dyDescent="0.25">
      <c r="B394" s="5"/>
      <c r="C394" s="14" t="s">
        <v>4</v>
      </c>
      <c r="F394" s="20"/>
      <c r="H394" s="5"/>
      <c r="I394" s="14" t="s">
        <v>4</v>
      </c>
      <c r="L394" s="20"/>
    </row>
    <row r="395" spans="2:12" x14ac:dyDescent="0.25">
      <c r="B395" s="5"/>
      <c r="C395" s="14" t="s">
        <v>5</v>
      </c>
      <c r="F395" s="21"/>
      <c r="H395" s="5"/>
      <c r="I395" s="14" t="s">
        <v>5</v>
      </c>
      <c r="L395" s="21"/>
    </row>
    <row r="396" spans="2:12" ht="15.75" thickBot="1" x14ac:dyDescent="0.3">
      <c r="B396" s="5"/>
      <c r="C396" s="16" t="s">
        <v>6</v>
      </c>
      <c r="E396" s="17"/>
      <c r="F396" s="21"/>
      <c r="H396" s="5"/>
      <c r="I396" s="16" t="s">
        <v>6</v>
      </c>
      <c r="K396" s="17"/>
      <c r="L396" s="21"/>
    </row>
    <row r="397" spans="2:12" ht="15.75" thickBot="1" x14ac:dyDescent="0.3">
      <c r="B397" s="5"/>
      <c r="D397" s="19"/>
      <c r="F397" s="19"/>
      <c r="H397" s="5"/>
      <c r="J397" s="19"/>
      <c r="L397" s="19"/>
    </row>
    <row r="398" spans="2:12" x14ac:dyDescent="0.25">
      <c r="B398" s="22" t="s">
        <v>8</v>
      </c>
      <c r="C398" s="23"/>
      <c r="D398" s="23"/>
      <c r="E398" s="23"/>
      <c r="F398" s="7"/>
      <c r="H398" s="22" t="s">
        <v>8</v>
      </c>
      <c r="I398" s="23"/>
      <c r="J398" s="23"/>
      <c r="K398" s="23"/>
      <c r="L398" s="7"/>
    </row>
    <row r="399" spans="2:12" ht="15.75" thickBot="1" x14ac:dyDescent="0.3">
      <c r="B399" s="24" t="s">
        <v>9</v>
      </c>
      <c r="C399" s="25"/>
      <c r="D399" s="25"/>
      <c r="E399" s="25"/>
      <c r="F399" s="26"/>
      <c r="H399" s="24" t="s">
        <v>9</v>
      </c>
      <c r="I399" s="25"/>
      <c r="J399" s="25"/>
      <c r="K399" s="25"/>
      <c r="L399" s="26"/>
    </row>
    <row r="400" spans="2:12" x14ac:dyDescent="0.25">
      <c r="B400" s="27" t="s">
        <v>10</v>
      </c>
      <c r="C400" s="27"/>
      <c r="D400" s="27"/>
      <c r="E400" s="27"/>
      <c r="H400" s="27" t="s">
        <v>10</v>
      </c>
      <c r="I400" s="27"/>
      <c r="J400" s="27"/>
      <c r="K400" s="27"/>
    </row>
  </sheetData>
  <mergeCells count="6">
    <mergeCell ref="H3:K3"/>
    <mergeCell ref="O24:U24"/>
    <mergeCell ref="N7:AB7"/>
    <mergeCell ref="N8:AB8"/>
    <mergeCell ref="N9:AB9"/>
    <mergeCell ref="O23:U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LETTURA SETTIMANALE </vt:lpstr>
      <vt:lpstr>LETTURA GIORN. PER VERIFICA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2023-02-06T11:18:22Z</cp:lastPrinted>
  <dcterms:created xsi:type="dcterms:W3CDTF">2022-01-11T13:29:24Z</dcterms:created>
  <dcterms:modified xsi:type="dcterms:W3CDTF">2025-03-17T09:25:44Z</dcterms:modified>
</cp:coreProperties>
</file>