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8017B506-95E5-4EC0-8D0B-D3B553128216}" xr6:coauthVersionLast="47" xr6:coauthVersionMax="47" xr10:uidLastSave="{00000000-0000-0000-0000-000000000000}"/>
  <bookViews>
    <workbookView xWindow="-120" yWindow="-120" windowWidth="29040" windowHeight="15840" activeTab="2" xr2:uid="{28183881-CB2E-4D45-B9C1-9198711D7925}"/>
  </bookViews>
  <sheets>
    <sheet name="Foglio1" sheetId="1" r:id="rId1"/>
    <sheet name="LETTURA GIORN. PER VERIFICA" sheetId="3" r:id="rId2"/>
    <sheet name="Foglio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1" l="1"/>
  <c r="J16" i="1"/>
  <c r="L15" i="1"/>
  <c r="L17" i="1" s="1"/>
  <c r="J15" i="1"/>
  <c r="L14" i="1"/>
  <c r="J14" i="1"/>
  <c r="L9" i="1"/>
  <c r="J9" i="1"/>
  <c r="L8" i="1"/>
  <c r="J8" i="1"/>
  <c r="L7" i="1"/>
  <c r="J7" i="1"/>
  <c r="K198" i="3"/>
  <c r="J189" i="3"/>
  <c r="J188" i="3"/>
  <c r="J187" i="3"/>
  <c r="F189" i="3"/>
  <c r="F188" i="3"/>
  <c r="L188" i="3"/>
  <c r="L189" i="3"/>
  <c r="L187" i="3"/>
  <c r="J196" i="3"/>
  <c r="J195" i="3"/>
  <c r="J194" i="3"/>
  <c r="L196" i="3"/>
  <c r="L195" i="3"/>
  <c r="L194" i="3"/>
  <c r="E198" i="3"/>
  <c r="D189" i="3"/>
  <c r="D188" i="3"/>
  <c r="D187" i="3"/>
  <c r="F187" i="3"/>
  <c r="D196" i="3"/>
  <c r="D195" i="3"/>
  <c r="D194" i="3"/>
  <c r="F196" i="3"/>
  <c r="F195" i="3"/>
  <c r="F194" i="3"/>
  <c r="K178" i="3"/>
  <c r="J169" i="3"/>
  <c r="J168" i="3"/>
  <c r="J167" i="3"/>
  <c r="L169" i="3"/>
  <c r="L168" i="3"/>
  <c r="L167" i="3"/>
  <c r="J176" i="3"/>
  <c r="J175" i="3"/>
  <c r="J174" i="3"/>
  <c r="L176" i="3"/>
  <c r="L175" i="3"/>
  <c r="L174" i="3"/>
  <c r="E178" i="3"/>
  <c r="D169" i="3"/>
  <c r="D168" i="3"/>
  <c r="D167" i="3"/>
  <c r="F169" i="3"/>
  <c r="F168" i="3"/>
  <c r="F167" i="3"/>
  <c r="D176" i="3"/>
  <c r="D175" i="3"/>
  <c r="D174" i="3"/>
  <c r="F176" i="3"/>
  <c r="F175" i="3"/>
  <c r="F174" i="3"/>
  <c r="F177" i="3" s="1"/>
  <c r="E179" i="3" s="1"/>
  <c r="K158" i="3"/>
  <c r="J149" i="3"/>
  <c r="J148" i="3"/>
  <c r="J147" i="3"/>
  <c r="L149" i="3"/>
  <c r="L148" i="3"/>
  <c r="L147" i="3"/>
  <c r="J156" i="3"/>
  <c r="J155" i="3"/>
  <c r="J154" i="3"/>
  <c r="L156" i="3"/>
  <c r="L155" i="3"/>
  <c r="L154" i="3"/>
  <c r="E158" i="3"/>
  <c r="D149" i="3"/>
  <c r="D148" i="3"/>
  <c r="D147" i="3"/>
  <c r="F149" i="3"/>
  <c r="F148" i="3"/>
  <c r="F147" i="3"/>
  <c r="D156" i="3"/>
  <c r="D155" i="3"/>
  <c r="D154" i="3"/>
  <c r="F156" i="3"/>
  <c r="F155" i="3"/>
  <c r="F154" i="3"/>
  <c r="K138" i="3"/>
  <c r="J129" i="3"/>
  <c r="J128" i="3"/>
  <c r="J127" i="3"/>
  <c r="L129" i="3"/>
  <c r="L128" i="3"/>
  <c r="L127" i="3"/>
  <c r="J136" i="3"/>
  <c r="J137" i="3" s="1"/>
  <c r="K140" i="3" s="1"/>
  <c r="J135" i="3"/>
  <c r="J134" i="3"/>
  <c r="L136" i="3"/>
  <c r="L135" i="3"/>
  <c r="L134" i="3"/>
  <c r="L157" i="3"/>
  <c r="L150" i="3"/>
  <c r="E138" i="3"/>
  <c r="D129" i="3"/>
  <c r="D128" i="3"/>
  <c r="D127" i="3"/>
  <c r="F129" i="3"/>
  <c r="F128" i="3"/>
  <c r="F127" i="3"/>
  <c r="D136" i="3"/>
  <c r="D135" i="3"/>
  <c r="D134" i="3"/>
  <c r="F136" i="3"/>
  <c r="F135" i="3"/>
  <c r="F134" i="3"/>
  <c r="J107" i="3"/>
  <c r="J109" i="3"/>
  <c r="J108" i="3"/>
  <c r="L109" i="3"/>
  <c r="L108" i="3"/>
  <c r="L107" i="3"/>
  <c r="J116" i="3"/>
  <c r="J115" i="3"/>
  <c r="J114" i="3"/>
  <c r="L116" i="3"/>
  <c r="L115" i="3"/>
  <c r="L114" i="3"/>
  <c r="F137" i="3"/>
  <c r="D137" i="3"/>
  <c r="F116" i="3"/>
  <c r="F115" i="3"/>
  <c r="F114" i="3"/>
  <c r="D116" i="3"/>
  <c r="D115" i="3"/>
  <c r="D114" i="3"/>
  <c r="F109" i="3"/>
  <c r="F108" i="3"/>
  <c r="F107" i="3"/>
  <c r="F110" i="3" s="1"/>
  <c r="D110" i="3"/>
  <c r="K118" i="3" s="1"/>
  <c r="D109" i="3"/>
  <c r="D108" i="3"/>
  <c r="D107" i="3"/>
  <c r="L96" i="3"/>
  <c r="L95" i="3"/>
  <c r="L94" i="3"/>
  <c r="J96" i="3"/>
  <c r="J95" i="3"/>
  <c r="J94" i="3"/>
  <c r="J90" i="3"/>
  <c r="K98" i="3" s="1"/>
  <c r="L89" i="3"/>
  <c r="L88" i="3"/>
  <c r="L87" i="3"/>
  <c r="J89" i="3"/>
  <c r="J88" i="3"/>
  <c r="J87" i="3"/>
  <c r="F96" i="3"/>
  <c r="F95" i="3"/>
  <c r="F94" i="3"/>
  <c r="D96" i="3"/>
  <c r="D95" i="3"/>
  <c r="D94" i="3"/>
  <c r="F89" i="3"/>
  <c r="F88" i="3"/>
  <c r="F87" i="3"/>
  <c r="F90" i="3" s="1"/>
  <c r="D90" i="3"/>
  <c r="E98" i="3" s="1"/>
  <c r="D89" i="3"/>
  <c r="D88" i="3"/>
  <c r="D87" i="3"/>
  <c r="K78" i="3"/>
  <c r="L77" i="3"/>
  <c r="K79" i="3" s="1"/>
  <c r="L76" i="3"/>
  <c r="L75" i="3"/>
  <c r="L74" i="3"/>
  <c r="J77" i="3"/>
  <c r="J76" i="3"/>
  <c r="J75" i="3"/>
  <c r="J74" i="3"/>
  <c r="L70" i="3"/>
  <c r="L69" i="3"/>
  <c r="L68" i="3"/>
  <c r="L67" i="3"/>
  <c r="J70" i="3"/>
  <c r="J69" i="3"/>
  <c r="J68" i="3"/>
  <c r="J67" i="3"/>
  <c r="F77" i="3"/>
  <c r="E79" i="3" s="1"/>
  <c r="F76" i="3"/>
  <c r="F75" i="3"/>
  <c r="F74" i="3"/>
  <c r="D77" i="3"/>
  <c r="K80" i="3" s="1"/>
  <c r="D76" i="3"/>
  <c r="D75" i="3"/>
  <c r="D74" i="3"/>
  <c r="D70" i="3"/>
  <c r="F70" i="3"/>
  <c r="F69" i="3"/>
  <c r="F68" i="3"/>
  <c r="F67" i="3"/>
  <c r="D69" i="3"/>
  <c r="D68" i="3"/>
  <c r="D67" i="3"/>
  <c r="L57" i="3"/>
  <c r="K59" i="3" s="1"/>
  <c r="L56" i="3"/>
  <c r="L55" i="3"/>
  <c r="L54" i="3"/>
  <c r="J57" i="3"/>
  <c r="K60" i="3" s="1"/>
  <c r="J56" i="3"/>
  <c r="J55" i="3"/>
  <c r="J54" i="3"/>
  <c r="L50" i="3"/>
  <c r="L49" i="3"/>
  <c r="L48" i="3"/>
  <c r="L47" i="3"/>
  <c r="J50" i="3"/>
  <c r="E78" i="3" s="1"/>
  <c r="J49" i="3"/>
  <c r="J48" i="3"/>
  <c r="J47" i="3"/>
  <c r="D50" i="3"/>
  <c r="E58" i="3" s="1"/>
  <c r="D49" i="3"/>
  <c r="D48" i="3"/>
  <c r="D47" i="3"/>
  <c r="F50" i="3"/>
  <c r="F49" i="3"/>
  <c r="F48" i="3"/>
  <c r="F47" i="3"/>
  <c r="D57" i="3"/>
  <c r="E60" i="3" s="1"/>
  <c r="D56" i="3"/>
  <c r="D55" i="3"/>
  <c r="D54" i="3"/>
  <c r="F57" i="3"/>
  <c r="F56" i="3"/>
  <c r="F55" i="3"/>
  <c r="F54" i="3"/>
  <c r="K40" i="3"/>
  <c r="K39" i="3"/>
  <c r="J30" i="3"/>
  <c r="J29" i="3"/>
  <c r="J28" i="3"/>
  <c r="J27" i="3"/>
  <c r="L30" i="3"/>
  <c r="L29" i="3"/>
  <c r="L28" i="3"/>
  <c r="L27" i="3"/>
  <c r="J37" i="3"/>
  <c r="J36" i="3"/>
  <c r="J35" i="3"/>
  <c r="J34" i="3"/>
  <c r="L37" i="3"/>
  <c r="E59" i="3" s="1"/>
  <c r="L36" i="3"/>
  <c r="L35" i="3"/>
  <c r="L34" i="3"/>
  <c r="E38" i="3"/>
  <c r="F37" i="3"/>
  <c r="E39" i="3" s="1"/>
  <c r="F36" i="3"/>
  <c r="F35" i="3"/>
  <c r="F34" i="3"/>
  <c r="D37" i="3"/>
  <c r="E40" i="3" s="1"/>
  <c r="D36" i="3"/>
  <c r="D35" i="3"/>
  <c r="D34" i="3"/>
  <c r="F30" i="3"/>
  <c r="F29" i="3"/>
  <c r="F28" i="3"/>
  <c r="F27" i="3"/>
  <c r="D30" i="3"/>
  <c r="K38" i="3" s="1"/>
  <c r="D29" i="3"/>
  <c r="D28" i="3"/>
  <c r="D27" i="3"/>
  <c r="K10" i="3"/>
  <c r="K9" i="3"/>
  <c r="K8" i="3"/>
  <c r="K7" i="3"/>
  <c r="I10" i="3"/>
  <c r="I9" i="3"/>
  <c r="I8" i="3"/>
  <c r="I7" i="3"/>
  <c r="F17" i="3"/>
  <c r="D17" i="3"/>
  <c r="F16" i="3"/>
  <c r="F15" i="3"/>
  <c r="F14" i="3"/>
  <c r="D16" i="3"/>
  <c r="D15" i="3"/>
  <c r="D14" i="3"/>
  <c r="F10" i="3"/>
  <c r="D10" i="3"/>
  <c r="E18" i="3" s="1"/>
  <c r="F9" i="3"/>
  <c r="F8" i="3"/>
  <c r="F7" i="3"/>
  <c r="D9" i="3"/>
  <c r="D8" i="3"/>
  <c r="D7" i="3"/>
  <c r="E80" i="3" l="1"/>
  <c r="D177" i="3"/>
  <c r="L190" i="3"/>
  <c r="K58" i="3"/>
  <c r="E118" i="3"/>
  <c r="L10" i="1"/>
  <c r="F130" i="3"/>
  <c r="D157" i="3"/>
  <c r="E160" i="3" s="1"/>
  <c r="J157" i="3"/>
  <c r="K160" i="3" s="1"/>
  <c r="L170" i="3"/>
  <c r="F150" i="3"/>
  <c r="J17" i="1"/>
  <c r="J197" i="3"/>
  <c r="K200" i="3" s="1"/>
  <c r="L197" i="3"/>
  <c r="F190" i="3"/>
  <c r="D197" i="3"/>
  <c r="F197" i="3"/>
  <c r="J177" i="3"/>
  <c r="K180" i="3" s="1"/>
  <c r="L177" i="3"/>
  <c r="K179" i="3" s="1"/>
  <c r="F170" i="3"/>
  <c r="F157" i="3"/>
  <c r="E159" i="3" s="1"/>
  <c r="L130" i="3"/>
  <c r="L137" i="3"/>
  <c r="K139" i="3" s="1"/>
  <c r="L110" i="3"/>
  <c r="J117" i="3"/>
  <c r="E140" i="3" s="1"/>
  <c r="L117" i="3"/>
  <c r="F117" i="3"/>
  <c r="D117" i="3"/>
  <c r="E120" i="3" s="1"/>
  <c r="L97" i="3"/>
  <c r="K99" i="3" s="1"/>
  <c r="J97" i="3"/>
  <c r="L90" i="3"/>
  <c r="F97" i="3"/>
  <c r="E99" i="3" s="1"/>
  <c r="D97" i="3"/>
  <c r="E100" i="3" s="1"/>
  <c r="E180" i="3" l="1"/>
  <c r="E119" i="3"/>
  <c r="K119" i="3"/>
  <c r="E199" i="3"/>
  <c r="E200" i="3"/>
  <c r="K159" i="3"/>
  <c r="K120" i="3"/>
  <c r="K100" i="3"/>
  <c r="K199" i="3"/>
  <c r="E139" i="3"/>
</calcChain>
</file>

<file path=xl/sharedStrings.xml><?xml version="1.0" encoding="utf-8"?>
<sst xmlns="http://schemas.openxmlformats.org/spreadsheetml/2006/main" count="641" uniqueCount="70">
  <si>
    <t xml:space="preserve">LETTURA CONTATORE INTERNO </t>
  </si>
  <si>
    <t>CLIENTE 616 351 184</t>
  </si>
  <si>
    <t>IMMISSIONE</t>
  </si>
  <si>
    <t>PRELIEVI</t>
  </si>
  <si>
    <t>A1</t>
  </si>
  <si>
    <t>A2</t>
  </si>
  <si>
    <t>A3</t>
  </si>
  <si>
    <t xml:space="preserve">LETTURA CONTATORE ESTERNO </t>
  </si>
  <si>
    <t>Energia Prodotta</t>
  </si>
  <si>
    <t>energia Consumata</t>
  </si>
  <si>
    <t>Energia Immessa</t>
  </si>
  <si>
    <t>MOLTIPLICARE I VALORI X 25</t>
  </si>
  <si>
    <t>PERIODO PRECEDENTE</t>
  </si>
  <si>
    <r>
      <rPr>
        <b/>
        <sz val="11"/>
        <color theme="1"/>
        <rFont val="Calibri"/>
        <family val="2"/>
        <scheme val="minor"/>
      </rPr>
      <t>ENERGIA PRODOTTA</t>
    </r>
    <r>
      <rPr>
        <sz val="11"/>
        <color theme="1"/>
        <rFont val="Calibri"/>
        <family val="2"/>
        <scheme val="minor"/>
      </rPr>
      <t xml:space="preserve">: SOMMA TOTALE IMMISSIONI CONTATORE INTERNO - SOMMA TOTALE IMMISSIONI CONTATORE INTERNO PERIODO PRECEDENTE  </t>
    </r>
  </si>
  <si>
    <r>
      <rPr>
        <b/>
        <sz val="11"/>
        <color theme="1"/>
        <rFont val="Calibri"/>
        <family val="2"/>
        <scheme val="minor"/>
      </rPr>
      <t>ENERGIA CONSUMATA</t>
    </r>
    <r>
      <rPr>
        <sz val="11"/>
        <color theme="1"/>
        <rFont val="Calibri"/>
        <family val="2"/>
        <scheme val="minor"/>
      </rPr>
      <t xml:space="preserve">: SOMMA TOTALE PRELIEVI CONTATORE ESTERNO - SOMMA TOTALE PRELIEVI CONTATORE ESTERNO PERIODO PRECEDENTE  </t>
    </r>
  </si>
  <si>
    <r>
      <rPr>
        <b/>
        <sz val="11"/>
        <color theme="1"/>
        <rFont val="Calibri"/>
        <family val="2"/>
        <scheme val="minor"/>
      </rPr>
      <t>ENERGIA IMMESSA</t>
    </r>
    <r>
      <rPr>
        <sz val="11"/>
        <color theme="1"/>
        <rFont val="Calibri"/>
        <family val="2"/>
        <scheme val="minor"/>
      </rPr>
      <t>: SOMMA TOTALE IMMISSIONI CONTATORE ESTERNO - SOMMA TOTALE IMMISSIONI CONTATORE ESTERNO PERIODO PRECEDENTE</t>
    </r>
  </si>
  <si>
    <t>03/02/2022 - POTENZA ISTANTANEA CONTATORE ESTERNO: 002,226</t>
  </si>
  <si>
    <t>03/02/2022 - POTENZA ISTANTANEA CONTATORE INETRNO: 0</t>
  </si>
  <si>
    <t>04/02/2022 - POTENZA ISTANTANEA CONTATORE ESTERNO: 000,366</t>
  </si>
  <si>
    <t xml:space="preserve">04/02/2022 - POTENZA ISTANTANEA CONTATORE INETRNO: 0 </t>
  </si>
  <si>
    <t xml:space="preserve">07/02/2022 - POTENZA ISTANTANEA CONTATORE ESTERNO: 002,830 </t>
  </si>
  <si>
    <t>07/02/2022 - POTENZA ISTANTANEA CONTATORE INTERNO: 0</t>
  </si>
  <si>
    <t>MATTINA</t>
  </si>
  <si>
    <t>08/02/2022 - POTENZA ISTANTANEA CONTATORE ESTERNO: 002,652</t>
  </si>
  <si>
    <t>08/02/2022 - POTENZA ISTANTANEA CONTATORE INTERNO: 0</t>
  </si>
  <si>
    <t>09/02/2022 - POTENZA ISTANTANEA CONTATORE INTERNO: 0</t>
  </si>
  <si>
    <t>10/02/2022 - POTENZA ISTANTANEA CONTATORE INTERNO: 0</t>
  </si>
  <si>
    <t xml:space="preserve">09/02/2022 - POTENZA ISTANTANEA CONTATORE ESTERNO: 002,879 </t>
  </si>
  <si>
    <t>10/02/2022 - POTENZA ISTANTANEA CONTATORE ESTERNO: 000,732</t>
  </si>
  <si>
    <t>SERA</t>
  </si>
  <si>
    <t>ORE 12:00</t>
  </si>
  <si>
    <t>11/02/2022 - POTENZA ISTANTANEA CONTATORE INTERNO: 0</t>
  </si>
  <si>
    <t>14/02/2022 - POTENZA ISTANTANEA CONTATORE INTERNO: 0</t>
  </si>
  <si>
    <t xml:space="preserve">14/02/2022 - POTENZA ISTANTANEA CONTATORE ESTERNO: 002,877 </t>
  </si>
  <si>
    <t>11/02/2022 - POTENZA ISTANTANEA CONTATORE ESTERNO: 002,850</t>
  </si>
  <si>
    <t>ORE 13:00</t>
  </si>
  <si>
    <t>15/02/2022 - POTENZA ISTANTANEA CONTATORE ESTERNO: 000,352</t>
  </si>
  <si>
    <t>15/02/2022 - POTENZA ISTANTANEA CONTATORE INTERNO: 0</t>
  </si>
  <si>
    <t>16/02/2022 - POTENZA ISTANTANEA CONTATORE INTERNO: 0</t>
  </si>
  <si>
    <t>16/02/2022 - POTENZA ISTANTANEA CONTATORE ESTERNO: 000,436</t>
  </si>
  <si>
    <t>17/02/2022 - POTENZA ISTANTANEA CONTATORE INTERNO: 0</t>
  </si>
  <si>
    <t>18/02/2022 - POTENZA ISTANTANEA CONTATORE INTERNO: 0</t>
  </si>
  <si>
    <t>17/02/2022 - POTENZA ISTANTANEA CONTATORE ESTERNO: 000,673</t>
  </si>
  <si>
    <t>18/02/2022 - POTENZA ISTANTANEA CONTATORE ESTERNO: 000,667</t>
  </si>
  <si>
    <t>21/02/2022 - POTENZA ISTANTANEA CONTATORE INTERNO: 0</t>
  </si>
  <si>
    <t>22/02/2022 - POTENZA ISTANTANEA CONTATORE INTERNO: 0</t>
  </si>
  <si>
    <t>21/02/2022 - POTENZA ISTANTANEA CONTATORE ESTERNO: 003,121</t>
  </si>
  <si>
    <t>22/02/2022 - POTENZA ISTANTANEA CONTATORE ESTERNO: 000,065</t>
  </si>
  <si>
    <t>19/01/2022 cambio contatore esterno</t>
  </si>
  <si>
    <t>23/02/2022 - POTENZA ISTANTANEA CONTATORE INTERNO: 0</t>
  </si>
  <si>
    <t>24/02/2022 - POTENZA ISTANTANEA CONTATORE INTERNO: 0</t>
  </si>
  <si>
    <t>23/02/2022 - POTENZA ISTANTANEA CONTATORE ESTERNO: 001,643</t>
  </si>
  <si>
    <t>24/02/2022 - POTENZA ISTANTANEA CONTATORE ESTERNO:002,377</t>
  </si>
  <si>
    <t>25/02/2022 - POTENZA ISTANTANEA CONTATORE INTERNO: 0</t>
  </si>
  <si>
    <t>28/02/2022 - POTENZA ISTANTANEA CONTATORE INTERNO: 0</t>
  </si>
  <si>
    <t>25/02/2022 - POTENZA ISTANTANEA CONTATORE ESTERNO: 0</t>
  </si>
  <si>
    <t>ore 11:00</t>
  </si>
  <si>
    <t>28/02/2022 - POTENZA ISTANTANEA CONTATORE ESTERNO: 002,593</t>
  </si>
  <si>
    <t>AGOSTO</t>
  </si>
  <si>
    <t>SETTEMBRE</t>
  </si>
  <si>
    <t>OTTOBRE</t>
  </si>
  <si>
    <t>NOVEMBRE</t>
  </si>
  <si>
    <t>DICEMBRE</t>
  </si>
  <si>
    <t>GENNAIO</t>
  </si>
  <si>
    <t>F1</t>
  </si>
  <si>
    <t>F2</t>
  </si>
  <si>
    <t>F3</t>
  </si>
  <si>
    <t>P</t>
  </si>
  <si>
    <t>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</si>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</sst>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48"/>
      <name val="Arial"/>
      <family val="2"/>
    </font>
    <font>
      <b/>
      <sz val="10"/>
      <color indexed="1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14" fontId="0" fillId="2" borderId="3" xfId="0" applyNumberFormat="1" applyFill="1" applyBorder="1"/>
    <xf numFmtId="0" fontId="0" fillId="0" borderId="4" xfId="0" applyBorder="1"/>
    <xf numFmtId="0" fontId="0" fillId="0" borderId="5" xfId="0" applyBorder="1"/>
    <xf numFmtId="14" fontId="0" fillId="0" borderId="0" xfId="0" applyNumberFormat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/>
    <xf numFmtId="0" fontId="1" fillId="0" borderId="6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/>
    <xf numFmtId="0" fontId="3" fillId="0" borderId="16" xfId="0" applyFont="1" applyBorder="1"/>
    <xf numFmtId="0" fontId="3" fillId="0" borderId="17" xfId="0" applyFont="1" applyBorder="1"/>
    <xf numFmtId="0" fontId="0" fillId="0" borderId="18" xfId="0" applyBorder="1"/>
    <xf numFmtId="0" fontId="4" fillId="0" borderId="0" xfId="0" applyFont="1"/>
    <xf numFmtId="0" fontId="0" fillId="0" borderId="0" xfId="0" applyAlignment="1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958A-ADFD-4A3A-8668-388703AE1187}">
  <dimension ref="B1:R125"/>
  <sheetViews>
    <sheetView topLeftCell="A89" workbookViewId="0">
      <selection activeCell="O28" sqref="O28"/>
    </sheetView>
  </sheetViews>
  <sheetFormatPr defaultRowHeight="15" x14ac:dyDescent="0.25"/>
  <cols>
    <col min="1" max="1" width="1.140625" customWidth="1"/>
    <col min="4" max="4" width="10.7109375" bestFit="1" customWidth="1"/>
    <col min="10" max="10" width="11.140625" customWidth="1"/>
    <col min="12" max="12" width="10.7109375" bestFit="1" customWidth="1"/>
    <col min="16" max="16" width="10.42578125" customWidth="1"/>
  </cols>
  <sheetData>
    <row r="1" spans="2:18" ht="6.75" customHeight="1" thickBot="1" x14ac:dyDescent="0.3"/>
    <row r="2" spans="2:18" x14ac:dyDescent="0.25">
      <c r="B2" s="1"/>
      <c r="C2" s="2"/>
      <c r="D2" s="3">
        <v>44592</v>
      </c>
      <c r="E2" s="2"/>
      <c r="F2" s="4"/>
      <c r="H2" s="1"/>
      <c r="I2" s="2"/>
      <c r="J2" s="3">
        <v>44620</v>
      </c>
      <c r="K2" s="2"/>
      <c r="L2" s="4"/>
      <c r="N2" s="1"/>
      <c r="O2" s="2"/>
      <c r="P2" s="3">
        <v>44561</v>
      </c>
      <c r="Q2" s="2"/>
      <c r="R2" s="4"/>
    </row>
    <row r="3" spans="2:18" x14ac:dyDescent="0.25">
      <c r="B3" s="5"/>
      <c r="D3" s="6"/>
      <c r="F3" s="7"/>
      <c r="H3" s="5"/>
      <c r="J3" s="6"/>
      <c r="L3" s="7"/>
      <c r="N3" s="5"/>
      <c r="P3" s="6"/>
      <c r="R3" s="7"/>
    </row>
    <row r="4" spans="2:18" x14ac:dyDescent="0.25">
      <c r="B4" s="5"/>
      <c r="C4" s="8" t="s">
        <v>0</v>
      </c>
      <c r="D4" s="9"/>
      <c r="E4" s="9"/>
      <c r="F4" s="10"/>
      <c r="H4" s="5"/>
      <c r="I4" s="8" t="s">
        <v>0</v>
      </c>
      <c r="J4" s="9"/>
      <c r="K4" s="9"/>
      <c r="L4" s="10"/>
      <c r="N4" s="5"/>
      <c r="O4" s="8" t="s">
        <v>0</v>
      </c>
      <c r="P4" s="9"/>
      <c r="Q4" s="9"/>
      <c r="R4" s="10"/>
    </row>
    <row r="5" spans="2:18" x14ac:dyDescent="0.25">
      <c r="B5" s="5"/>
      <c r="C5" s="11" t="s">
        <v>1</v>
      </c>
      <c r="D5" s="12"/>
      <c r="E5" s="12"/>
      <c r="F5" s="13"/>
      <c r="H5" s="5"/>
      <c r="I5" s="11" t="s">
        <v>1</v>
      </c>
      <c r="J5" s="12"/>
      <c r="K5" s="12"/>
      <c r="L5" s="13"/>
      <c r="N5" s="5"/>
      <c r="O5" s="11" t="s">
        <v>1</v>
      </c>
      <c r="P5" s="12"/>
      <c r="Q5" s="12"/>
      <c r="R5" s="13"/>
    </row>
    <row r="6" spans="2:18" x14ac:dyDescent="0.25">
      <c r="B6" s="5"/>
      <c r="C6" s="14"/>
      <c r="D6" t="s">
        <v>2</v>
      </c>
      <c r="F6" s="7" t="s">
        <v>3</v>
      </c>
      <c r="H6" s="5"/>
      <c r="I6" s="14"/>
      <c r="J6" t="s">
        <v>2</v>
      </c>
      <c r="L6" s="7" t="s">
        <v>3</v>
      </c>
      <c r="N6" s="5"/>
      <c r="O6" s="14"/>
      <c r="P6" t="s">
        <v>2</v>
      </c>
      <c r="R6" s="7" t="s">
        <v>3</v>
      </c>
    </row>
    <row r="7" spans="2:18" x14ac:dyDescent="0.25">
      <c r="B7" s="5"/>
      <c r="C7" s="14" t="s">
        <v>4</v>
      </c>
      <c r="D7">
        <v>1433.33</v>
      </c>
      <c r="F7" s="15">
        <v>8.9999999999999993E-3</v>
      </c>
      <c r="H7" s="5"/>
      <c r="I7" s="14" t="s">
        <v>4</v>
      </c>
      <c r="J7">
        <f>1534.401*25</f>
        <v>38360.025000000001</v>
      </c>
      <c r="L7" s="15">
        <f>0.011*25</f>
        <v>0.27499999999999997</v>
      </c>
      <c r="N7" s="5"/>
      <c r="O7" s="14" t="s">
        <v>4</v>
      </c>
      <c r="P7">
        <v>1364</v>
      </c>
      <c r="R7" s="15">
        <v>8.9999999999999993E-3</v>
      </c>
    </row>
    <row r="8" spans="2:18" x14ac:dyDescent="0.25">
      <c r="B8" s="5"/>
      <c r="C8" s="14" t="s">
        <v>5</v>
      </c>
      <c r="D8">
        <v>340.96</v>
      </c>
      <c r="F8" s="15">
        <v>3.5000000000000003E-2</v>
      </c>
      <c r="H8" s="5"/>
      <c r="I8" s="14" t="s">
        <v>5</v>
      </c>
      <c r="J8">
        <f>355.692*25</f>
        <v>8892.2999999999993</v>
      </c>
      <c r="L8" s="15">
        <f>0.036*25</f>
        <v>0.89999999999999991</v>
      </c>
      <c r="N8" s="5"/>
      <c r="O8" s="14" t="s">
        <v>5</v>
      </c>
      <c r="P8">
        <v>320</v>
      </c>
      <c r="R8" s="15">
        <v>3.3000000000000002E-2</v>
      </c>
    </row>
    <row r="9" spans="2:18" ht="15.75" thickBot="1" x14ac:dyDescent="0.3">
      <c r="B9" s="5"/>
      <c r="C9" s="16" t="s">
        <v>6</v>
      </c>
      <c r="D9">
        <v>332.93</v>
      </c>
      <c r="E9" s="17"/>
      <c r="F9" s="18">
        <v>5.1999999999999998E-2</v>
      </c>
      <c r="H9" s="5"/>
      <c r="I9" s="16" t="s">
        <v>6</v>
      </c>
      <c r="J9">
        <f>349.371*25</f>
        <v>8734.2749999999996</v>
      </c>
      <c r="K9" s="17"/>
      <c r="L9" s="18">
        <f>0.056*25</f>
        <v>1.4000000000000001</v>
      </c>
      <c r="N9" s="5"/>
      <c r="O9" s="16" t="s">
        <v>6</v>
      </c>
      <c r="P9">
        <v>316</v>
      </c>
      <c r="Q9" s="17"/>
      <c r="R9" s="18">
        <v>4.9000000000000002E-2</v>
      </c>
    </row>
    <row r="10" spans="2:18" ht="15.75" thickBot="1" x14ac:dyDescent="0.3">
      <c r="B10" s="5"/>
      <c r="D10" s="19">
        <v>2107.2199999999998</v>
      </c>
      <c r="F10" s="19">
        <v>9.6000000000000002E-2</v>
      </c>
      <c r="H10" s="5"/>
      <c r="J10" s="19">
        <v>55986.6</v>
      </c>
      <c r="L10" s="19">
        <f>SUM(L7:L9)</f>
        <v>2.5750000000000002</v>
      </c>
      <c r="N10" s="5"/>
      <c r="P10" s="19">
        <v>2000</v>
      </c>
      <c r="R10" s="19">
        <v>9.0999999999999998E-2</v>
      </c>
    </row>
    <row r="11" spans="2:18" x14ac:dyDescent="0.25">
      <c r="B11" s="5"/>
      <c r="C11" s="8" t="s">
        <v>7</v>
      </c>
      <c r="D11" s="12"/>
      <c r="E11" s="9"/>
      <c r="F11" s="10"/>
      <c r="H11" s="5"/>
      <c r="I11" s="8" t="s">
        <v>7</v>
      </c>
      <c r="J11" s="12"/>
      <c r="K11" s="9"/>
      <c r="L11" s="10"/>
      <c r="N11" s="5"/>
      <c r="O11" s="8" t="s">
        <v>7</v>
      </c>
      <c r="P11" s="12"/>
      <c r="Q11" s="9"/>
      <c r="R11" s="10"/>
    </row>
    <row r="12" spans="2:18" x14ac:dyDescent="0.25">
      <c r="B12" s="5"/>
      <c r="C12" s="11" t="s">
        <v>1</v>
      </c>
      <c r="D12" s="12"/>
      <c r="E12" s="12"/>
      <c r="F12" s="13"/>
      <c r="H12" s="5"/>
      <c r="I12" s="11" t="s">
        <v>1</v>
      </c>
      <c r="J12" s="12"/>
      <c r="K12" s="12"/>
      <c r="L12" s="13"/>
      <c r="N12" s="5"/>
      <c r="O12" s="11" t="s">
        <v>1</v>
      </c>
      <c r="P12" s="12"/>
      <c r="Q12" s="12"/>
      <c r="R12" s="13"/>
    </row>
    <row r="13" spans="2:18" x14ac:dyDescent="0.25">
      <c r="B13" s="5"/>
      <c r="C13" s="14"/>
      <c r="D13" t="s">
        <v>2</v>
      </c>
      <c r="F13" s="7" t="s">
        <v>3</v>
      </c>
      <c r="H13" s="5"/>
      <c r="I13" s="14"/>
      <c r="J13" t="s">
        <v>2</v>
      </c>
      <c r="L13" s="7" t="s">
        <v>3</v>
      </c>
      <c r="N13" s="5"/>
      <c r="O13" s="14"/>
      <c r="P13" t="s">
        <v>2</v>
      </c>
      <c r="R13" s="7" t="s">
        <v>3</v>
      </c>
    </row>
    <row r="14" spans="2:18" x14ac:dyDescent="0.25">
      <c r="B14" s="5"/>
      <c r="C14" s="14" t="s">
        <v>4</v>
      </c>
      <c r="F14" s="20"/>
      <c r="H14" s="5"/>
      <c r="I14" s="14" t="s">
        <v>4</v>
      </c>
      <c r="J14">
        <f>9.946*25</f>
        <v>248.65</v>
      </c>
      <c r="L14" s="20">
        <f>362.53*25</f>
        <v>9063.25</v>
      </c>
      <c r="N14" s="5"/>
      <c r="O14" s="14" t="s">
        <v>4</v>
      </c>
      <c r="P14">
        <v>32326</v>
      </c>
      <c r="R14" s="20">
        <v>157624</v>
      </c>
    </row>
    <row r="15" spans="2:18" x14ac:dyDescent="0.25">
      <c r="B15" s="5"/>
      <c r="C15" s="14" t="s">
        <v>5</v>
      </c>
      <c r="F15" s="21"/>
      <c r="H15" s="5"/>
      <c r="I15" s="14" t="s">
        <v>5</v>
      </c>
      <c r="J15">
        <f>19.967*25</f>
        <v>499.17499999999995</v>
      </c>
      <c r="L15" s="21">
        <f>117.098*25</f>
        <v>2927.45</v>
      </c>
      <c r="N15" s="5"/>
      <c r="O15" s="14" t="s">
        <v>5</v>
      </c>
      <c r="P15">
        <v>22005</v>
      </c>
      <c r="R15" s="21">
        <v>45644</v>
      </c>
    </row>
    <row r="16" spans="2:18" ht="15.75" thickBot="1" x14ac:dyDescent="0.3">
      <c r="B16" s="5"/>
      <c r="C16" s="16" t="s">
        <v>6</v>
      </c>
      <c r="E16" s="17"/>
      <c r="F16" s="21"/>
      <c r="H16" s="5"/>
      <c r="I16" s="16" t="s">
        <v>6</v>
      </c>
      <c r="J16">
        <f>23.865*25</f>
        <v>596.625</v>
      </c>
      <c r="K16" s="17"/>
      <c r="L16" s="21">
        <f>100.592*25</f>
        <v>2514.8000000000002</v>
      </c>
      <c r="N16" s="5"/>
      <c r="O16" s="16" t="s">
        <v>6</v>
      </c>
      <c r="P16">
        <v>26138</v>
      </c>
      <c r="Q16" s="17"/>
      <c r="R16" s="21">
        <v>66882</v>
      </c>
    </row>
    <row r="17" spans="2:18" ht="15.75" thickBot="1" x14ac:dyDescent="0.3">
      <c r="B17" s="5"/>
      <c r="D17" s="19"/>
      <c r="F17" s="19"/>
      <c r="H17" s="5"/>
      <c r="J17" s="19">
        <f>SUM(J14:J16)</f>
        <v>1344.4499999999998</v>
      </c>
      <c r="L17" s="19">
        <f>SUM(L14:L16)</f>
        <v>14505.5</v>
      </c>
      <c r="N17" s="5"/>
      <c r="P17" s="19">
        <v>80469</v>
      </c>
      <c r="R17" s="19">
        <v>270150</v>
      </c>
    </row>
    <row r="18" spans="2:18" x14ac:dyDescent="0.25">
      <c r="B18" s="22" t="s">
        <v>8</v>
      </c>
      <c r="C18" s="23"/>
      <c r="D18" s="23"/>
      <c r="E18" s="23"/>
      <c r="F18" s="7"/>
      <c r="H18" s="22" t="s">
        <v>8</v>
      </c>
      <c r="I18" s="23"/>
      <c r="J18" s="23"/>
      <c r="K18" s="23"/>
      <c r="L18" s="7"/>
      <c r="N18" s="22" t="s">
        <v>8</v>
      </c>
      <c r="O18" s="23"/>
      <c r="P18" s="23"/>
      <c r="Q18" s="23"/>
      <c r="R18" s="7"/>
    </row>
    <row r="19" spans="2:18" ht="15.75" thickBot="1" x14ac:dyDescent="0.3">
      <c r="B19" s="24" t="s">
        <v>9</v>
      </c>
      <c r="C19" s="25"/>
      <c r="D19" s="25"/>
      <c r="E19" s="25"/>
      <c r="F19" s="26"/>
      <c r="H19" s="24" t="s">
        <v>9</v>
      </c>
      <c r="I19" s="25"/>
      <c r="J19" s="25"/>
      <c r="K19" s="25"/>
      <c r="L19" s="26"/>
      <c r="N19" s="24" t="s">
        <v>9</v>
      </c>
      <c r="O19" s="25"/>
      <c r="P19" s="25"/>
      <c r="Q19" s="25"/>
      <c r="R19" s="26"/>
    </row>
    <row r="20" spans="2:18" x14ac:dyDescent="0.25">
      <c r="B20" s="27" t="s">
        <v>10</v>
      </c>
      <c r="C20" s="27"/>
      <c r="D20" s="27"/>
      <c r="E20" s="27"/>
      <c r="H20" s="27" t="s">
        <v>10</v>
      </c>
      <c r="I20" s="27"/>
      <c r="J20" s="27"/>
      <c r="K20" s="27"/>
      <c r="N20" s="27" t="s">
        <v>10</v>
      </c>
      <c r="O20" s="27"/>
      <c r="P20" s="27"/>
      <c r="Q20" s="27"/>
    </row>
    <row r="22" spans="2:18" ht="15.75" thickBot="1" x14ac:dyDescent="0.3">
      <c r="N22" s="30" t="s">
        <v>11</v>
      </c>
      <c r="O22" s="30"/>
      <c r="P22" s="30"/>
      <c r="Q22" s="30"/>
      <c r="R22" s="30"/>
    </row>
    <row r="23" spans="2:18" x14ac:dyDescent="0.25">
      <c r="B23" s="1"/>
      <c r="C23" s="2"/>
      <c r="D23" s="3">
        <v>44651</v>
      </c>
      <c r="E23" s="2"/>
      <c r="F23" s="4"/>
      <c r="H23" s="1"/>
      <c r="I23" s="2"/>
      <c r="J23" s="3">
        <v>44681</v>
      </c>
      <c r="K23" s="2"/>
      <c r="L23" s="4"/>
      <c r="M23" s="28"/>
      <c r="N23" s="30" t="s">
        <v>48</v>
      </c>
      <c r="O23" s="30"/>
      <c r="P23" s="30"/>
      <c r="Q23" s="30"/>
      <c r="R23" s="30"/>
    </row>
    <row r="24" spans="2:18" x14ac:dyDescent="0.25">
      <c r="B24" s="5"/>
      <c r="D24" s="6"/>
      <c r="F24" s="7"/>
      <c r="H24" s="5"/>
      <c r="J24" s="6"/>
      <c r="L24" s="7"/>
    </row>
    <row r="25" spans="2:18" x14ac:dyDescent="0.25">
      <c r="B25" s="5"/>
      <c r="C25" s="8" t="s">
        <v>0</v>
      </c>
      <c r="D25" s="9"/>
      <c r="E25" s="9"/>
      <c r="F25" s="10"/>
      <c r="H25" s="5"/>
      <c r="I25" s="8" t="s">
        <v>0</v>
      </c>
      <c r="J25" s="9"/>
      <c r="K25" s="9"/>
      <c r="L25" s="10"/>
    </row>
    <row r="26" spans="2:18" x14ac:dyDescent="0.25">
      <c r="B26" s="5"/>
      <c r="C26" s="11" t="s">
        <v>1</v>
      </c>
      <c r="D26" s="12"/>
      <c r="E26" s="12"/>
      <c r="F26" s="13"/>
      <c r="H26" s="5"/>
      <c r="I26" s="11" t="s">
        <v>1</v>
      </c>
      <c r="J26" s="12"/>
      <c r="K26" s="12"/>
      <c r="L26" s="13"/>
    </row>
    <row r="27" spans="2:18" x14ac:dyDescent="0.25">
      <c r="B27" s="5"/>
      <c r="C27" s="14"/>
      <c r="D27" t="s">
        <v>2</v>
      </c>
      <c r="F27" s="7" t="s">
        <v>3</v>
      </c>
      <c r="H27" s="5"/>
      <c r="I27" s="14"/>
      <c r="J27" t="s">
        <v>2</v>
      </c>
      <c r="L27" s="7" t="s">
        <v>3</v>
      </c>
    </row>
    <row r="28" spans="2:18" x14ac:dyDescent="0.25">
      <c r="B28" s="5"/>
      <c r="C28" s="14" t="s">
        <v>4</v>
      </c>
      <c r="F28" s="15"/>
      <c r="H28" s="5"/>
      <c r="I28" s="14" t="s">
        <v>4</v>
      </c>
      <c r="L28" s="15"/>
    </row>
    <row r="29" spans="2:18" x14ac:dyDescent="0.25">
      <c r="B29" s="5"/>
      <c r="C29" s="14" t="s">
        <v>5</v>
      </c>
      <c r="F29" s="15"/>
      <c r="H29" s="5"/>
      <c r="I29" s="14" t="s">
        <v>5</v>
      </c>
      <c r="L29" s="15"/>
    </row>
    <row r="30" spans="2:18" ht="15.75" thickBot="1" x14ac:dyDescent="0.3">
      <c r="B30" s="5"/>
      <c r="C30" s="16" t="s">
        <v>6</v>
      </c>
      <c r="E30" s="17"/>
      <c r="F30" s="18"/>
      <c r="H30" s="5"/>
      <c r="I30" s="16" t="s">
        <v>6</v>
      </c>
      <c r="K30" s="17"/>
      <c r="L30" s="18"/>
    </row>
    <row r="31" spans="2:18" ht="15.75" thickBot="1" x14ac:dyDescent="0.3">
      <c r="B31" s="5"/>
      <c r="D31" s="19"/>
      <c r="F31" s="19"/>
      <c r="H31" s="5"/>
      <c r="J31" s="19"/>
      <c r="L31" s="19"/>
    </row>
    <row r="32" spans="2:18" x14ac:dyDescent="0.25">
      <c r="B32" s="5"/>
      <c r="C32" s="8" t="s">
        <v>7</v>
      </c>
      <c r="D32" s="12"/>
      <c r="E32" s="9"/>
      <c r="F32" s="10"/>
      <c r="H32" s="5"/>
      <c r="I32" s="8" t="s">
        <v>7</v>
      </c>
      <c r="J32" s="12"/>
      <c r="K32" s="9"/>
      <c r="L32" s="10"/>
    </row>
    <row r="33" spans="2:12" x14ac:dyDescent="0.25">
      <c r="B33" s="5"/>
      <c r="C33" s="11" t="s">
        <v>1</v>
      </c>
      <c r="D33" s="12"/>
      <c r="E33" s="12"/>
      <c r="F33" s="13"/>
      <c r="H33" s="5"/>
      <c r="I33" s="11" t="s">
        <v>1</v>
      </c>
      <c r="J33" s="12"/>
      <c r="K33" s="12"/>
      <c r="L33" s="13"/>
    </row>
    <row r="34" spans="2:12" x14ac:dyDescent="0.25">
      <c r="B34" s="5"/>
      <c r="C34" s="14"/>
      <c r="D34" t="s">
        <v>2</v>
      </c>
      <c r="F34" s="7" t="s">
        <v>3</v>
      </c>
      <c r="H34" s="5"/>
      <c r="I34" s="14"/>
      <c r="J34" t="s">
        <v>2</v>
      </c>
      <c r="L34" s="7" t="s">
        <v>3</v>
      </c>
    </row>
    <row r="35" spans="2:12" x14ac:dyDescent="0.25">
      <c r="B35" s="5"/>
      <c r="C35" s="14" t="s">
        <v>4</v>
      </c>
      <c r="F35" s="20"/>
      <c r="H35" s="5"/>
      <c r="I35" s="14" t="s">
        <v>4</v>
      </c>
      <c r="L35" s="20"/>
    </row>
    <row r="36" spans="2:12" x14ac:dyDescent="0.25">
      <c r="B36" s="5"/>
      <c r="C36" s="14" t="s">
        <v>5</v>
      </c>
      <c r="F36" s="21"/>
      <c r="H36" s="5"/>
      <c r="I36" s="14" t="s">
        <v>5</v>
      </c>
      <c r="L36" s="21"/>
    </row>
    <row r="37" spans="2:12" ht="15.75" thickBot="1" x14ac:dyDescent="0.3">
      <c r="B37" s="5"/>
      <c r="C37" s="16" t="s">
        <v>6</v>
      </c>
      <c r="E37" s="17"/>
      <c r="F37" s="21"/>
      <c r="H37" s="5"/>
      <c r="I37" s="16" t="s">
        <v>6</v>
      </c>
      <c r="K37" s="17"/>
      <c r="L37" s="21"/>
    </row>
    <row r="38" spans="2:12" ht="15.75" thickBot="1" x14ac:dyDescent="0.3">
      <c r="B38" s="5"/>
      <c r="D38" s="19"/>
      <c r="F38" s="19"/>
      <c r="H38" s="5"/>
      <c r="J38" s="19"/>
      <c r="L38" s="19"/>
    </row>
    <row r="39" spans="2:12" x14ac:dyDescent="0.25">
      <c r="B39" s="22" t="s">
        <v>8</v>
      </c>
      <c r="C39" s="23"/>
      <c r="D39" s="23"/>
      <c r="E39" s="23"/>
      <c r="F39" s="7"/>
      <c r="H39" s="22" t="s">
        <v>8</v>
      </c>
      <c r="I39" s="23"/>
      <c r="J39" s="23"/>
      <c r="K39" s="23"/>
      <c r="L39" s="7"/>
    </row>
    <row r="40" spans="2:12" ht="15.75" thickBot="1" x14ac:dyDescent="0.3">
      <c r="B40" s="24" t="s">
        <v>9</v>
      </c>
      <c r="C40" s="25"/>
      <c r="D40" s="25"/>
      <c r="E40" s="25"/>
      <c r="F40" s="26"/>
      <c r="H40" s="24" t="s">
        <v>9</v>
      </c>
      <c r="I40" s="25"/>
      <c r="J40" s="25"/>
      <c r="K40" s="25"/>
      <c r="L40" s="26"/>
    </row>
    <row r="41" spans="2:12" x14ac:dyDescent="0.25">
      <c r="B41" s="27" t="s">
        <v>10</v>
      </c>
      <c r="C41" s="27"/>
      <c r="D41" s="27"/>
      <c r="E41" s="27"/>
      <c r="H41" s="27" t="s">
        <v>10</v>
      </c>
      <c r="I41" s="27"/>
      <c r="J41" s="27"/>
      <c r="K41" s="27"/>
    </row>
    <row r="43" spans="2:12" ht="15.75" thickBot="1" x14ac:dyDescent="0.3"/>
    <row r="44" spans="2:12" x14ac:dyDescent="0.25">
      <c r="B44" s="1"/>
      <c r="C44" s="2"/>
      <c r="D44" s="3">
        <v>44712</v>
      </c>
      <c r="E44" s="2"/>
      <c r="F44" s="4"/>
      <c r="H44" s="1"/>
      <c r="I44" s="2"/>
      <c r="J44" s="3">
        <v>44742</v>
      </c>
      <c r="K44" s="2"/>
      <c r="L44" s="4"/>
    </row>
    <row r="45" spans="2:12" x14ac:dyDescent="0.25">
      <c r="B45" s="5"/>
      <c r="D45" s="6"/>
      <c r="F45" s="7"/>
      <c r="H45" s="5"/>
      <c r="J45" s="6"/>
      <c r="L45" s="7"/>
    </row>
    <row r="46" spans="2:12" x14ac:dyDescent="0.25">
      <c r="B46" s="5"/>
      <c r="C46" s="8" t="s">
        <v>0</v>
      </c>
      <c r="D46" s="9"/>
      <c r="E46" s="9"/>
      <c r="F46" s="10"/>
      <c r="H46" s="5"/>
      <c r="I46" s="8" t="s">
        <v>0</v>
      </c>
      <c r="J46" s="9"/>
      <c r="K46" s="9"/>
      <c r="L46" s="10"/>
    </row>
    <row r="47" spans="2:12" x14ac:dyDescent="0.25">
      <c r="B47" s="5"/>
      <c r="C47" s="11" t="s">
        <v>1</v>
      </c>
      <c r="D47" s="12"/>
      <c r="E47" s="12"/>
      <c r="F47" s="13"/>
      <c r="H47" s="5"/>
      <c r="I47" s="11" t="s">
        <v>1</v>
      </c>
      <c r="J47" s="12"/>
      <c r="K47" s="12"/>
      <c r="L47" s="13"/>
    </row>
    <row r="48" spans="2:12" x14ac:dyDescent="0.25">
      <c r="B48" s="5"/>
      <c r="C48" s="14"/>
      <c r="D48" t="s">
        <v>2</v>
      </c>
      <c r="F48" s="7" t="s">
        <v>3</v>
      </c>
      <c r="H48" s="5"/>
      <c r="I48" s="14"/>
      <c r="J48" t="s">
        <v>2</v>
      </c>
      <c r="L48" s="7" t="s">
        <v>3</v>
      </c>
    </row>
    <row r="49" spans="2:12" x14ac:dyDescent="0.25">
      <c r="B49" s="5"/>
      <c r="C49" s="14" t="s">
        <v>4</v>
      </c>
      <c r="F49" s="15"/>
      <c r="H49" s="5"/>
      <c r="I49" s="14" t="s">
        <v>4</v>
      </c>
      <c r="L49" s="15"/>
    </row>
    <row r="50" spans="2:12" x14ac:dyDescent="0.25">
      <c r="B50" s="5"/>
      <c r="C50" s="14" t="s">
        <v>5</v>
      </c>
      <c r="F50" s="15"/>
      <c r="H50" s="5"/>
      <c r="I50" s="14" t="s">
        <v>5</v>
      </c>
      <c r="L50" s="15"/>
    </row>
    <row r="51" spans="2:12" ht="15.75" thickBot="1" x14ac:dyDescent="0.3">
      <c r="B51" s="5"/>
      <c r="C51" s="16" t="s">
        <v>6</v>
      </c>
      <c r="E51" s="17"/>
      <c r="F51" s="18"/>
      <c r="H51" s="5"/>
      <c r="I51" s="16" t="s">
        <v>6</v>
      </c>
      <c r="K51" s="17"/>
      <c r="L51" s="18"/>
    </row>
    <row r="52" spans="2:12" ht="15.75" thickBot="1" x14ac:dyDescent="0.3">
      <c r="B52" s="5"/>
      <c r="D52" s="19"/>
      <c r="F52" s="19"/>
      <c r="H52" s="5"/>
      <c r="J52" s="19"/>
      <c r="L52" s="19"/>
    </row>
    <row r="53" spans="2:12" x14ac:dyDescent="0.25">
      <c r="B53" s="5"/>
      <c r="C53" s="8" t="s">
        <v>7</v>
      </c>
      <c r="D53" s="12"/>
      <c r="E53" s="9"/>
      <c r="F53" s="10"/>
      <c r="H53" s="5"/>
      <c r="I53" s="8" t="s">
        <v>7</v>
      </c>
      <c r="J53" s="12"/>
      <c r="K53" s="9"/>
      <c r="L53" s="10"/>
    </row>
    <row r="54" spans="2:12" x14ac:dyDescent="0.25">
      <c r="B54" s="5"/>
      <c r="C54" s="11" t="s">
        <v>1</v>
      </c>
      <c r="D54" s="12"/>
      <c r="E54" s="12"/>
      <c r="F54" s="13"/>
      <c r="H54" s="5"/>
      <c r="I54" s="11" t="s">
        <v>1</v>
      </c>
      <c r="J54" s="12"/>
      <c r="K54" s="12"/>
      <c r="L54" s="13"/>
    </row>
    <row r="55" spans="2:12" x14ac:dyDescent="0.25">
      <c r="B55" s="5"/>
      <c r="C55" s="14"/>
      <c r="D55" t="s">
        <v>2</v>
      </c>
      <c r="F55" s="7" t="s">
        <v>3</v>
      </c>
      <c r="H55" s="5"/>
      <c r="I55" s="14"/>
      <c r="J55" t="s">
        <v>2</v>
      </c>
      <c r="L55" s="7" t="s">
        <v>3</v>
      </c>
    </row>
    <row r="56" spans="2:12" x14ac:dyDescent="0.25">
      <c r="B56" s="5"/>
      <c r="C56" s="14" t="s">
        <v>4</v>
      </c>
      <c r="F56" s="20"/>
      <c r="H56" s="5"/>
      <c r="I56" s="14" t="s">
        <v>4</v>
      </c>
      <c r="L56" s="20"/>
    </row>
    <row r="57" spans="2:12" x14ac:dyDescent="0.25">
      <c r="B57" s="5"/>
      <c r="C57" s="14" t="s">
        <v>5</v>
      </c>
      <c r="F57" s="21"/>
      <c r="H57" s="5"/>
      <c r="I57" s="14" t="s">
        <v>5</v>
      </c>
      <c r="L57" s="21"/>
    </row>
    <row r="58" spans="2:12" ht="15.75" thickBot="1" x14ac:dyDescent="0.3">
      <c r="B58" s="5"/>
      <c r="C58" s="16" t="s">
        <v>6</v>
      </c>
      <c r="E58" s="17"/>
      <c r="F58" s="21"/>
      <c r="H58" s="5"/>
      <c r="I58" s="16" t="s">
        <v>6</v>
      </c>
      <c r="K58" s="17"/>
      <c r="L58" s="21"/>
    </row>
    <row r="59" spans="2:12" ht="15.75" thickBot="1" x14ac:dyDescent="0.3">
      <c r="B59" s="5"/>
      <c r="D59" s="19"/>
      <c r="F59" s="19"/>
      <c r="H59" s="5"/>
      <c r="J59" s="19"/>
      <c r="L59" s="19"/>
    </row>
    <row r="60" spans="2:12" x14ac:dyDescent="0.25">
      <c r="B60" s="22" t="s">
        <v>8</v>
      </c>
      <c r="C60" s="23"/>
      <c r="D60" s="23"/>
      <c r="E60" s="23"/>
      <c r="F60" s="7"/>
      <c r="H60" s="22" t="s">
        <v>8</v>
      </c>
      <c r="I60" s="23"/>
      <c r="J60" s="23"/>
      <c r="K60" s="23"/>
      <c r="L60" s="7"/>
    </row>
    <row r="61" spans="2:12" ht="15.75" thickBot="1" x14ac:dyDescent="0.3">
      <c r="B61" s="24" t="s">
        <v>9</v>
      </c>
      <c r="C61" s="25"/>
      <c r="D61" s="25"/>
      <c r="E61" s="25"/>
      <c r="F61" s="26"/>
      <c r="H61" s="24" t="s">
        <v>9</v>
      </c>
      <c r="I61" s="25"/>
      <c r="J61" s="25"/>
      <c r="K61" s="25"/>
      <c r="L61" s="26"/>
    </row>
    <row r="62" spans="2:12" x14ac:dyDescent="0.25">
      <c r="B62" s="27" t="s">
        <v>10</v>
      </c>
      <c r="C62" s="27"/>
      <c r="D62" s="27"/>
      <c r="E62" s="27"/>
      <c r="H62" s="27" t="s">
        <v>10</v>
      </c>
      <c r="I62" s="27"/>
      <c r="J62" s="27"/>
      <c r="K62" s="27"/>
    </row>
    <row r="64" spans="2:12" ht="15.75" thickBot="1" x14ac:dyDescent="0.3"/>
    <row r="65" spans="2:12" x14ac:dyDescent="0.25">
      <c r="B65" s="1"/>
      <c r="C65" s="2"/>
      <c r="D65" s="3">
        <v>44773</v>
      </c>
      <c r="E65" s="2"/>
      <c r="F65" s="4"/>
      <c r="H65" s="1"/>
      <c r="I65" s="2"/>
      <c r="J65" s="3">
        <v>44804</v>
      </c>
      <c r="K65" s="2"/>
      <c r="L65" s="4"/>
    </row>
    <row r="66" spans="2:12" x14ac:dyDescent="0.25">
      <c r="B66" s="5"/>
      <c r="D66" s="6"/>
      <c r="F66" s="7"/>
      <c r="H66" s="5"/>
      <c r="J66" s="6"/>
      <c r="L66" s="7"/>
    </row>
    <row r="67" spans="2:12" x14ac:dyDescent="0.25">
      <c r="B67" s="5"/>
      <c r="C67" s="8" t="s">
        <v>0</v>
      </c>
      <c r="D67" s="9"/>
      <c r="E67" s="9"/>
      <c r="F67" s="10"/>
      <c r="H67" s="5"/>
      <c r="I67" s="8" t="s">
        <v>0</v>
      </c>
      <c r="J67" s="9"/>
      <c r="K67" s="9"/>
      <c r="L67" s="10"/>
    </row>
    <row r="68" spans="2:12" x14ac:dyDescent="0.25">
      <c r="B68" s="5"/>
      <c r="C68" s="11" t="s">
        <v>1</v>
      </c>
      <c r="D68" s="12"/>
      <c r="E68" s="12"/>
      <c r="F68" s="13"/>
      <c r="H68" s="5"/>
      <c r="I68" s="11" t="s">
        <v>1</v>
      </c>
      <c r="J68" s="12"/>
      <c r="K68" s="12"/>
      <c r="L68" s="13"/>
    </row>
    <row r="69" spans="2:12" x14ac:dyDescent="0.25">
      <c r="B69" s="5"/>
      <c r="C69" s="14"/>
      <c r="D69" t="s">
        <v>2</v>
      </c>
      <c r="F69" s="7" t="s">
        <v>3</v>
      </c>
      <c r="H69" s="5"/>
      <c r="I69" s="14"/>
      <c r="J69" t="s">
        <v>2</v>
      </c>
      <c r="L69" s="7" t="s">
        <v>3</v>
      </c>
    </row>
    <row r="70" spans="2:12" x14ac:dyDescent="0.25">
      <c r="B70" s="5"/>
      <c r="C70" s="14" t="s">
        <v>4</v>
      </c>
      <c r="F70" s="15"/>
      <c r="H70" s="5"/>
      <c r="I70" s="14" t="s">
        <v>4</v>
      </c>
      <c r="L70" s="15"/>
    </row>
    <row r="71" spans="2:12" x14ac:dyDescent="0.25">
      <c r="B71" s="5"/>
      <c r="C71" s="14" t="s">
        <v>5</v>
      </c>
      <c r="F71" s="15"/>
      <c r="H71" s="5"/>
      <c r="I71" s="14" t="s">
        <v>5</v>
      </c>
      <c r="L71" s="15"/>
    </row>
    <row r="72" spans="2:12" ht="15.75" thickBot="1" x14ac:dyDescent="0.3">
      <c r="B72" s="5"/>
      <c r="C72" s="16" t="s">
        <v>6</v>
      </c>
      <c r="E72" s="17"/>
      <c r="F72" s="18"/>
      <c r="H72" s="5"/>
      <c r="I72" s="16" t="s">
        <v>6</v>
      </c>
      <c r="K72" s="17"/>
      <c r="L72" s="18"/>
    </row>
    <row r="73" spans="2:12" ht="15.75" thickBot="1" x14ac:dyDescent="0.3">
      <c r="B73" s="5"/>
      <c r="D73" s="19"/>
      <c r="F73" s="19"/>
      <c r="H73" s="5"/>
      <c r="J73" s="19"/>
      <c r="L73" s="19"/>
    </row>
    <row r="74" spans="2:12" x14ac:dyDescent="0.25">
      <c r="B74" s="5"/>
      <c r="C74" s="8" t="s">
        <v>7</v>
      </c>
      <c r="D74" s="12"/>
      <c r="E74" s="9"/>
      <c r="F74" s="10"/>
      <c r="H74" s="5"/>
      <c r="I74" s="8" t="s">
        <v>7</v>
      </c>
      <c r="J74" s="12"/>
      <c r="K74" s="9"/>
      <c r="L74" s="10"/>
    </row>
    <row r="75" spans="2:12" x14ac:dyDescent="0.25">
      <c r="B75" s="5"/>
      <c r="C75" s="11" t="s">
        <v>1</v>
      </c>
      <c r="D75" s="12"/>
      <c r="E75" s="12"/>
      <c r="F75" s="13"/>
      <c r="H75" s="5"/>
      <c r="I75" s="11" t="s">
        <v>1</v>
      </c>
      <c r="J75" s="12"/>
      <c r="K75" s="12"/>
      <c r="L75" s="13"/>
    </row>
    <row r="76" spans="2:12" x14ac:dyDescent="0.25">
      <c r="B76" s="5"/>
      <c r="C76" s="14"/>
      <c r="D76" t="s">
        <v>2</v>
      </c>
      <c r="F76" s="7" t="s">
        <v>3</v>
      </c>
      <c r="H76" s="5"/>
      <c r="I76" s="14"/>
      <c r="J76" t="s">
        <v>2</v>
      </c>
      <c r="L76" s="7" t="s">
        <v>3</v>
      </c>
    </row>
    <row r="77" spans="2:12" x14ac:dyDescent="0.25">
      <c r="B77" s="5"/>
      <c r="C77" s="14" t="s">
        <v>4</v>
      </c>
      <c r="F77" s="20"/>
      <c r="H77" s="5"/>
      <c r="I77" s="14" t="s">
        <v>4</v>
      </c>
      <c r="L77" s="20"/>
    </row>
    <row r="78" spans="2:12" x14ac:dyDescent="0.25">
      <c r="B78" s="5"/>
      <c r="C78" s="14" t="s">
        <v>5</v>
      </c>
      <c r="F78" s="21"/>
      <c r="H78" s="5"/>
      <c r="I78" s="14" t="s">
        <v>5</v>
      </c>
      <c r="L78" s="21"/>
    </row>
    <row r="79" spans="2:12" ht="15.75" thickBot="1" x14ac:dyDescent="0.3">
      <c r="B79" s="5"/>
      <c r="C79" s="16" t="s">
        <v>6</v>
      </c>
      <c r="E79" s="17"/>
      <c r="F79" s="21"/>
      <c r="H79" s="5"/>
      <c r="I79" s="16" t="s">
        <v>6</v>
      </c>
      <c r="K79" s="17"/>
      <c r="L79" s="21"/>
    </row>
    <row r="80" spans="2:12" ht="15.75" thickBot="1" x14ac:dyDescent="0.3">
      <c r="B80" s="5"/>
      <c r="D80" s="19"/>
      <c r="F80" s="19"/>
      <c r="H80" s="5"/>
      <c r="J80" s="19"/>
      <c r="L80" s="19"/>
    </row>
    <row r="81" spans="2:12" x14ac:dyDescent="0.25">
      <c r="B81" s="22" t="s">
        <v>8</v>
      </c>
      <c r="C81" s="23"/>
      <c r="D81" s="23"/>
      <c r="E81" s="23"/>
      <c r="F81" s="7"/>
      <c r="H81" s="22" t="s">
        <v>8</v>
      </c>
      <c r="I81" s="23"/>
      <c r="J81" s="23"/>
      <c r="K81" s="23"/>
      <c r="L81" s="7"/>
    </row>
    <row r="82" spans="2:12" ht="15.75" thickBot="1" x14ac:dyDescent="0.3">
      <c r="B82" s="24" t="s">
        <v>9</v>
      </c>
      <c r="C82" s="25"/>
      <c r="D82" s="25"/>
      <c r="E82" s="25"/>
      <c r="F82" s="26"/>
      <c r="H82" s="24" t="s">
        <v>9</v>
      </c>
      <c r="I82" s="25"/>
      <c r="J82" s="25"/>
      <c r="K82" s="25"/>
      <c r="L82" s="26"/>
    </row>
    <row r="83" spans="2:12" x14ac:dyDescent="0.25">
      <c r="B83" s="27" t="s">
        <v>10</v>
      </c>
      <c r="C83" s="27"/>
      <c r="D83" s="27"/>
      <c r="E83" s="27"/>
      <c r="H83" s="27" t="s">
        <v>10</v>
      </c>
      <c r="I83" s="27"/>
      <c r="J83" s="27"/>
      <c r="K83" s="27"/>
    </row>
    <row r="85" spans="2:12" ht="15.75" thickBot="1" x14ac:dyDescent="0.3"/>
    <row r="86" spans="2:12" x14ac:dyDescent="0.25">
      <c r="B86" s="1"/>
      <c r="C86" s="2"/>
      <c r="D86" s="3">
        <v>44834</v>
      </c>
      <c r="E86" s="2"/>
      <c r="F86" s="4"/>
      <c r="H86" s="1"/>
      <c r="I86" s="2"/>
      <c r="J86" s="3">
        <v>44865</v>
      </c>
      <c r="K86" s="2"/>
      <c r="L86" s="4"/>
    </row>
    <row r="87" spans="2:12" x14ac:dyDescent="0.25">
      <c r="B87" s="5"/>
      <c r="D87" s="6"/>
      <c r="F87" s="7"/>
      <c r="H87" s="5"/>
      <c r="J87" s="6"/>
      <c r="L87" s="7"/>
    </row>
    <row r="88" spans="2:12" x14ac:dyDescent="0.25">
      <c r="B88" s="5"/>
      <c r="C88" s="8" t="s">
        <v>0</v>
      </c>
      <c r="D88" s="9"/>
      <c r="E88" s="9"/>
      <c r="F88" s="10"/>
      <c r="H88" s="5"/>
      <c r="I88" s="8" t="s">
        <v>0</v>
      </c>
      <c r="J88" s="9"/>
      <c r="K88" s="9"/>
      <c r="L88" s="10"/>
    </row>
    <row r="89" spans="2:12" x14ac:dyDescent="0.25">
      <c r="B89" s="5"/>
      <c r="C89" s="11" t="s">
        <v>1</v>
      </c>
      <c r="D89" s="12"/>
      <c r="E89" s="12"/>
      <c r="F89" s="13"/>
      <c r="H89" s="5"/>
      <c r="I89" s="11" t="s">
        <v>1</v>
      </c>
      <c r="J89" s="12"/>
      <c r="K89" s="12"/>
      <c r="L89" s="13"/>
    </row>
    <row r="90" spans="2:12" x14ac:dyDescent="0.25">
      <c r="B90" s="5"/>
      <c r="C90" s="14"/>
      <c r="D90" t="s">
        <v>2</v>
      </c>
      <c r="F90" s="7" t="s">
        <v>3</v>
      </c>
      <c r="H90" s="5"/>
      <c r="I90" s="14"/>
      <c r="J90" t="s">
        <v>2</v>
      </c>
      <c r="L90" s="7" t="s">
        <v>3</v>
      </c>
    </row>
    <row r="91" spans="2:12" x14ac:dyDescent="0.25">
      <c r="B91" s="5"/>
      <c r="C91" s="14" t="s">
        <v>4</v>
      </c>
      <c r="F91" s="15"/>
      <c r="H91" s="5"/>
      <c r="I91" s="14" t="s">
        <v>4</v>
      </c>
      <c r="L91" s="15"/>
    </row>
    <row r="92" spans="2:12" x14ac:dyDescent="0.25">
      <c r="B92" s="5"/>
      <c r="C92" s="14" t="s">
        <v>5</v>
      </c>
      <c r="F92" s="15"/>
      <c r="H92" s="5"/>
      <c r="I92" s="14" t="s">
        <v>5</v>
      </c>
      <c r="L92" s="15"/>
    </row>
    <row r="93" spans="2:12" ht="15.75" thickBot="1" x14ac:dyDescent="0.3">
      <c r="B93" s="5"/>
      <c r="C93" s="16" t="s">
        <v>6</v>
      </c>
      <c r="E93" s="17"/>
      <c r="F93" s="18"/>
      <c r="H93" s="5"/>
      <c r="I93" s="16" t="s">
        <v>6</v>
      </c>
      <c r="K93" s="17"/>
      <c r="L93" s="18"/>
    </row>
    <row r="94" spans="2:12" ht="15.75" thickBot="1" x14ac:dyDescent="0.3">
      <c r="B94" s="5"/>
      <c r="D94" s="19"/>
      <c r="F94" s="19"/>
      <c r="H94" s="5"/>
      <c r="J94" s="19"/>
      <c r="L94" s="19"/>
    </row>
    <row r="95" spans="2:12" x14ac:dyDescent="0.25">
      <c r="B95" s="5"/>
      <c r="C95" s="8" t="s">
        <v>7</v>
      </c>
      <c r="D95" s="12"/>
      <c r="E95" s="9"/>
      <c r="F95" s="10"/>
      <c r="H95" s="5"/>
      <c r="I95" s="8" t="s">
        <v>7</v>
      </c>
      <c r="J95" s="12"/>
      <c r="K95" s="9"/>
      <c r="L95" s="10"/>
    </row>
    <row r="96" spans="2:12" x14ac:dyDescent="0.25">
      <c r="B96" s="5"/>
      <c r="C96" s="11" t="s">
        <v>1</v>
      </c>
      <c r="D96" s="12"/>
      <c r="E96" s="12"/>
      <c r="F96" s="13"/>
      <c r="H96" s="5"/>
      <c r="I96" s="11" t="s">
        <v>1</v>
      </c>
      <c r="J96" s="12"/>
      <c r="K96" s="12"/>
      <c r="L96" s="13"/>
    </row>
    <row r="97" spans="2:12" x14ac:dyDescent="0.25">
      <c r="B97" s="5"/>
      <c r="C97" s="14"/>
      <c r="D97" t="s">
        <v>2</v>
      </c>
      <c r="F97" s="7" t="s">
        <v>3</v>
      </c>
      <c r="H97" s="5"/>
      <c r="I97" s="14"/>
      <c r="J97" t="s">
        <v>2</v>
      </c>
      <c r="L97" s="7" t="s">
        <v>3</v>
      </c>
    </row>
    <row r="98" spans="2:12" x14ac:dyDescent="0.25">
      <c r="B98" s="5"/>
      <c r="C98" s="14" t="s">
        <v>4</v>
      </c>
      <c r="F98" s="20"/>
      <c r="H98" s="5"/>
      <c r="I98" s="14" t="s">
        <v>4</v>
      </c>
      <c r="L98" s="20"/>
    </row>
    <row r="99" spans="2:12" x14ac:dyDescent="0.25">
      <c r="B99" s="5"/>
      <c r="C99" s="14" t="s">
        <v>5</v>
      </c>
      <c r="F99" s="21"/>
      <c r="H99" s="5"/>
      <c r="I99" s="14" t="s">
        <v>5</v>
      </c>
      <c r="L99" s="21"/>
    </row>
    <row r="100" spans="2:12" ht="15.75" thickBot="1" x14ac:dyDescent="0.3">
      <c r="B100" s="5"/>
      <c r="C100" s="16" t="s">
        <v>6</v>
      </c>
      <c r="E100" s="17"/>
      <c r="F100" s="21"/>
      <c r="H100" s="5"/>
      <c r="I100" s="16" t="s">
        <v>6</v>
      </c>
      <c r="K100" s="17"/>
      <c r="L100" s="21"/>
    </row>
    <row r="101" spans="2:12" ht="15.75" thickBot="1" x14ac:dyDescent="0.3">
      <c r="B101" s="5"/>
      <c r="D101" s="19"/>
      <c r="F101" s="19"/>
      <c r="H101" s="5"/>
      <c r="J101" s="19"/>
      <c r="L101" s="19"/>
    </row>
    <row r="102" spans="2:12" x14ac:dyDescent="0.25">
      <c r="B102" s="22" t="s">
        <v>8</v>
      </c>
      <c r="C102" s="23"/>
      <c r="D102" s="23"/>
      <c r="E102" s="23"/>
      <c r="F102" s="7"/>
      <c r="H102" s="22" t="s">
        <v>8</v>
      </c>
      <c r="I102" s="23"/>
      <c r="J102" s="23"/>
      <c r="K102" s="23"/>
      <c r="L102" s="7"/>
    </row>
    <row r="103" spans="2:12" ht="15.75" thickBot="1" x14ac:dyDescent="0.3">
      <c r="B103" s="24" t="s">
        <v>9</v>
      </c>
      <c r="C103" s="25"/>
      <c r="D103" s="25"/>
      <c r="E103" s="25"/>
      <c r="F103" s="26"/>
      <c r="H103" s="24" t="s">
        <v>9</v>
      </c>
      <c r="I103" s="25"/>
      <c r="J103" s="25"/>
      <c r="K103" s="25"/>
      <c r="L103" s="26"/>
    </row>
    <row r="104" spans="2:12" x14ac:dyDescent="0.25">
      <c r="B104" s="27" t="s">
        <v>10</v>
      </c>
      <c r="C104" s="27"/>
      <c r="D104" s="27"/>
      <c r="E104" s="27"/>
      <c r="H104" s="27" t="s">
        <v>10</v>
      </c>
      <c r="I104" s="27"/>
      <c r="J104" s="27"/>
      <c r="K104" s="27"/>
    </row>
    <row r="106" spans="2:12" ht="15.75" thickBot="1" x14ac:dyDescent="0.3"/>
    <row r="107" spans="2:12" x14ac:dyDescent="0.25">
      <c r="B107" s="1"/>
      <c r="C107" s="2"/>
      <c r="D107" s="3">
        <v>44895</v>
      </c>
      <c r="E107" s="2"/>
      <c r="F107" s="4"/>
      <c r="H107" s="1"/>
      <c r="I107" s="2"/>
      <c r="J107" s="3">
        <v>44926</v>
      </c>
      <c r="K107" s="2"/>
      <c r="L107" s="4"/>
    </row>
    <row r="108" spans="2:12" x14ac:dyDescent="0.25">
      <c r="B108" s="5"/>
      <c r="D108" s="6"/>
      <c r="F108" s="7"/>
      <c r="H108" s="5"/>
      <c r="J108" s="6"/>
      <c r="L108" s="7"/>
    </row>
    <row r="109" spans="2:12" x14ac:dyDescent="0.25">
      <c r="B109" s="5"/>
      <c r="C109" s="8" t="s">
        <v>0</v>
      </c>
      <c r="D109" s="9"/>
      <c r="E109" s="9"/>
      <c r="F109" s="10"/>
      <c r="H109" s="5"/>
      <c r="I109" s="8" t="s">
        <v>0</v>
      </c>
      <c r="J109" s="9"/>
      <c r="K109" s="9"/>
      <c r="L109" s="10"/>
    </row>
    <row r="110" spans="2:12" x14ac:dyDescent="0.25">
      <c r="B110" s="5"/>
      <c r="C110" s="11" t="s">
        <v>1</v>
      </c>
      <c r="D110" s="12"/>
      <c r="E110" s="12"/>
      <c r="F110" s="13"/>
      <c r="H110" s="5"/>
      <c r="I110" s="11" t="s">
        <v>1</v>
      </c>
      <c r="J110" s="12"/>
      <c r="K110" s="12"/>
      <c r="L110" s="13"/>
    </row>
    <row r="111" spans="2:12" x14ac:dyDescent="0.25">
      <c r="B111" s="5"/>
      <c r="C111" s="14"/>
      <c r="D111" t="s">
        <v>2</v>
      </c>
      <c r="F111" s="7" t="s">
        <v>3</v>
      </c>
      <c r="H111" s="5"/>
      <c r="I111" s="14"/>
      <c r="J111" t="s">
        <v>2</v>
      </c>
      <c r="L111" s="7" t="s">
        <v>3</v>
      </c>
    </row>
    <row r="112" spans="2:12" x14ac:dyDescent="0.25">
      <c r="B112" s="5"/>
      <c r="C112" s="14" t="s">
        <v>4</v>
      </c>
      <c r="F112" s="15"/>
      <c r="H112" s="5"/>
      <c r="I112" s="14" t="s">
        <v>4</v>
      </c>
      <c r="L112" s="15"/>
    </row>
    <row r="113" spans="2:12" x14ac:dyDescent="0.25">
      <c r="B113" s="5"/>
      <c r="C113" s="14" t="s">
        <v>5</v>
      </c>
      <c r="F113" s="15"/>
      <c r="H113" s="5"/>
      <c r="I113" s="14" t="s">
        <v>5</v>
      </c>
      <c r="L113" s="15"/>
    </row>
    <row r="114" spans="2:12" ht="15.75" thickBot="1" x14ac:dyDescent="0.3">
      <c r="B114" s="5"/>
      <c r="C114" s="16" t="s">
        <v>6</v>
      </c>
      <c r="E114" s="17"/>
      <c r="F114" s="18"/>
      <c r="H114" s="5"/>
      <c r="I114" s="16" t="s">
        <v>6</v>
      </c>
      <c r="K114" s="17"/>
      <c r="L114" s="18"/>
    </row>
    <row r="115" spans="2:12" ht="15.75" thickBot="1" x14ac:dyDescent="0.3">
      <c r="B115" s="5"/>
      <c r="D115" s="19"/>
      <c r="F115" s="19"/>
      <c r="H115" s="5"/>
      <c r="J115" s="19"/>
      <c r="L115" s="19"/>
    </row>
    <row r="116" spans="2:12" x14ac:dyDescent="0.25">
      <c r="B116" s="5"/>
      <c r="C116" s="8" t="s">
        <v>7</v>
      </c>
      <c r="D116" s="12"/>
      <c r="E116" s="9"/>
      <c r="F116" s="10"/>
      <c r="H116" s="5"/>
      <c r="I116" s="8" t="s">
        <v>7</v>
      </c>
      <c r="J116" s="12"/>
      <c r="K116" s="9"/>
      <c r="L116" s="10"/>
    </row>
    <row r="117" spans="2:12" x14ac:dyDescent="0.25">
      <c r="B117" s="5"/>
      <c r="C117" s="11" t="s">
        <v>1</v>
      </c>
      <c r="D117" s="12"/>
      <c r="E117" s="12"/>
      <c r="F117" s="13"/>
      <c r="H117" s="5"/>
      <c r="I117" s="11" t="s">
        <v>1</v>
      </c>
      <c r="J117" s="12"/>
      <c r="K117" s="12"/>
      <c r="L117" s="13"/>
    </row>
    <row r="118" spans="2:12" x14ac:dyDescent="0.25">
      <c r="B118" s="5"/>
      <c r="C118" s="14"/>
      <c r="D118" t="s">
        <v>2</v>
      </c>
      <c r="F118" s="7" t="s">
        <v>3</v>
      </c>
      <c r="H118" s="5"/>
      <c r="I118" s="14"/>
      <c r="J118" t="s">
        <v>2</v>
      </c>
      <c r="L118" s="7" t="s">
        <v>3</v>
      </c>
    </row>
    <row r="119" spans="2:12" x14ac:dyDescent="0.25">
      <c r="B119" s="5"/>
      <c r="C119" s="14" t="s">
        <v>4</v>
      </c>
      <c r="F119" s="20"/>
      <c r="H119" s="5"/>
      <c r="I119" s="14" t="s">
        <v>4</v>
      </c>
      <c r="L119" s="20"/>
    </row>
    <row r="120" spans="2:12" x14ac:dyDescent="0.25">
      <c r="B120" s="5"/>
      <c r="C120" s="14" t="s">
        <v>5</v>
      </c>
      <c r="F120" s="21"/>
      <c r="H120" s="5"/>
      <c r="I120" s="14" t="s">
        <v>5</v>
      </c>
      <c r="L120" s="21"/>
    </row>
    <row r="121" spans="2:12" ht="15.75" thickBot="1" x14ac:dyDescent="0.3">
      <c r="B121" s="5"/>
      <c r="C121" s="16" t="s">
        <v>6</v>
      </c>
      <c r="E121" s="17"/>
      <c r="F121" s="21"/>
      <c r="H121" s="5"/>
      <c r="I121" s="16" t="s">
        <v>6</v>
      </c>
      <c r="K121" s="17"/>
      <c r="L121" s="21"/>
    </row>
    <row r="122" spans="2:12" ht="15.75" thickBot="1" x14ac:dyDescent="0.3">
      <c r="B122" s="5"/>
      <c r="D122" s="19"/>
      <c r="F122" s="19"/>
      <c r="H122" s="5"/>
      <c r="J122" s="19"/>
      <c r="L122" s="19"/>
    </row>
    <row r="123" spans="2:12" x14ac:dyDescent="0.25">
      <c r="B123" s="22" t="s">
        <v>8</v>
      </c>
      <c r="C123" s="23"/>
      <c r="D123" s="23"/>
      <c r="E123" s="23"/>
      <c r="F123" s="7"/>
      <c r="H123" s="22" t="s">
        <v>8</v>
      </c>
      <c r="I123" s="23"/>
      <c r="J123" s="23"/>
      <c r="K123" s="23"/>
      <c r="L123" s="7"/>
    </row>
    <row r="124" spans="2:12" ht="15.75" thickBot="1" x14ac:dyDescent="0.3">
      <c r="B124" s="24" t="s">
        <v>9</v>
      </c>
      <c r="C124" s="25"/>
      <c r="D124" s="25"/>
      <c r="E124" s="25"/>
      <c r="F124" s="26"/>
      <c r="H124" s="24" t="s">
        <v>9</v>
      </c>
      <c r="I124" s="25"/>
      <c r="J124" s="25"/>
      <c r="K124" s="25"/>
      <c r="L124" s="26"/>
    </row>
    <row r="125" spans="2:12" x14ac:dyDescent="0.25">
      <c r="B125" s="27" t="s">
        <v>10</v>
      </c>
      <c r="C125" s="27"/>
      <c r="D125" s="27"/>
      <c r="E125" s="27"/>
      <c r="H125" s="27" t="s">
        <v>10</v>
      </c>
      <c r="I125" s="27"/>
      <c r="J125" s="27"/>
      <c r="K125" s="27"/>
    </row>
  </sheetData>
  <mergeCells count="2">
    <mergeCell ref="N22:R22"/>
    <mergeCell ref="N23:R23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12FD8-7AB0-4128-9028-0732974CEB99}">
  <dimension ref="B1:AH200"/>
  <sheetViews>
    <sheetView topLeftCell="A164" workbookViewId="0">
      <selection activeCell="P195" sqref="P195"/>
    </sheetView>
  </sheetViews>
  <sheetFormatPr defaultRowHeight="15" x14ac:dyDescent="0.25"/>
  <cols>
    <col min="1" max="1" width="1" customWidth="1"/>
    <col min="4" max="4" width="12" bestFit="1" customWidth="1"/>
    <col min="10" max="10" width="10.7109375" bestFit="1" customWidth="1"/>
  </cols>
  <sheetData>
    <row r="1" spans="2:34" ht="15.75" thickBot="1" x14ac:dyDescent="0.3"/>
    <row r="2" spans="2:34" x14ac:dyDescent="0.25">
      <c r="B2" s="1"/>
      <c r="C2" s="2"/>
      <c r="D2" s="3">
        <v>44594</v>
      </c>
      <c r="E2" s="2" t="s">
        <v>29</v>
      </c>
      <c r="F2" s="4"/>
    </row>
    <row r="3" spans="2:34" x14ac:dyDescent="0.25">
      <c r="B3" s="5"/>
      <c r="D3" s="6"/>
      <c r="F3" s="7"/>
      <c r="H3" s="31" t="s">
        <v>12</v>
      </c>
      <c r="I3" s="31"/>
      <c r="J3" s="31"/>
      <c r="K3" s="31"/>
    </row>
    <row r="4" spans="2:34" x14ac:dyDescent="0.25">
      <c r="B4" s="5"/>
      <c r="C4" s="8" t="s">
        <v>0</v>
      </c>
      <c r="D4" s="9"/>
      <c r="E4" s="9"/>
      <c r="F4" s="10"/>
      <c r="H4" s="8" t="s">
        <v>0</v>
      </c>
      <c r="I4" s="9"/>
      <c r="J4" s="9"/>
      <c r="K4" s="10"/>
      <c r="R4" s="29"/>
      <c r="S4" s="29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</row>
    <row r="5" spans="2:34" x14ac:dyDescent="0.25">
      <c r="B5" s="5"/>
      <c r="C5" s="11" t="s">
        <v>1</v>
      </c>
      <c r="D5" s="12"/>
      <c r="E5" s="12"/>
      <c r="F5" s="13"/>
      <c r="H5" s="11" t="s">
        <v>1</v>
      </c>
      <c r="I5" s="12"/>
      <c r="J5" s="12"/>
      <c r="K5" s="13"/>
    </row>
    <row r="6" spans="2:34" x14ac:dyDescent="0.25">
      <c r="B6" s="5"/>
      <c r="C6" s="14"/>
      <c r="D6" t="s">
        <v>2</v>
      </c>
      <c r="F6" s="7" t="s">
        <v>3</v>
      </c>
      <c r="H6" s="14"/>
      <c r="I6" t="s">
        <v>2</v>
      </c>
      <c r="K6" s="7" t="s">
        <v>3</v>
      </c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2:34" x14ac:dyDescent="0.25">
      <c r="B7" s="5"/>
      <c r="C7" s="14" t="s">
        <v>4</v>
      </c>
      <c r="D7">
        <f>1445.22*25</f>
        <v>36130.5</v>
      </c>
      <c r="F7" s="15">
        <f>0.009*25</f>
        <v>0.22499999999999998</v>
      </c>
      <c r="H7" s="14" t="s">
        <v>4</v>
      </c>
      <c r="I7">
        <f>1433.33*25</f>
        <v>35833.25</v>
      </c>
      <c r="K7" s="15">
        <f>0.009*25</f>
        <v>0.22499999999999998</v>
      </c>
      <c r="N7" s="32" t="s">
        <v>13</v>
      </c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2:34" x14ac:dyDescent="0.25">
      <c r="B8" s="5"/>
      <c r="C8" s="14" t="s">
        <v>5</v>
      </c>
      <c r="D8">
        <f>340.98*25</f>
        <v>8524.5</v>
      </c>
      <c r="F8" s="15">
        <f>0.035*25</f>
        <v>0.87500000000000011</v>
      </c>
      <c r="H8" s="14" t="s">
        <v>5</v>
      </c>
      <c r="I8">
        <f>340.96*25</f>
        <v>8524</v>
      </c>
      <c r="K8" s="15">
        <f>0.035*25</f>
        <v>0.87500000000000011</v>
      </c>
      <c r="N8" s="32" t="s">
        <v>14</v>
      </c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2:34" ht="15.75" thickBot="1" x14ac:dyDescent="0.3">
      <c r="B9" s="5"/>
      <c r="C9" s="16" t="s">
        <v>6</v>
      </c>
      <c r="D9">
        <f>332.93*25</f>
        <v>8323.25</v>
      </c>
      <c r="E9" s="17"/>
      <c r="F9" s="18">
        <f>0.052*25</f>
        <v>1.3</v>
      </c>
      <c r="H9" s="16" t="s">
        <v>6</v>
      </c>
      <c r="I9">
        <f>332.93*25</f>
        <v>8323.25</v>
      </c>
      <c r="J9" s="17"/>
      <c r="K9" s="18">
        <f>0.052*25</f>
        <v>1.3</v>
      </c>
      <c r="N9" s="32" t="s">
        <v>15</v>
      </c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2:34" ht="15.75" thickBot="1" x14ac:dyDescent="0.3">
      <c r="B10" s="5"/>
      <c r="D10" s="19">
        <f>2119.13*25</f>
        <v>52978.25</v>
      </c>
      <c r="F10" s="19">
        <f>0.096*25</f>
        <v>2.4</v>
      </c>
      <c r="I10" s="19">
        <f>2107.22*25</f>
        <v>52680.499999999993</v>
      </c>
      <c r="K10" s="19">
        <f>0.096*25</f>
        <v>2.4</v>
      </c>
    </row>
    <row r="11" spans="2:34" x14ac:dyDescent="0.25">
      <c r="B11" s="5"/>
      <c r="C11" s="8" t="s">
        <v>7</v>
      </c>
      <c r="D11" s="12"/>
      <c r="E11" s="9"/>
      <c r="F11" s="10"/>
    </row>
    <row r="12" spans="2:34" x14ac:dyDescent="0.25">
      <c r="B12" s="5"/>
      <c r="C12" s="11" t="s">
        <v>1</v>
      </c>
      <c r="D12" s="12"/>
      <c r="E12" s="12"/>
      <c r="F12" s="13"/>
    </row>
    <row r="13" spans="2:34" x14ac:dyDescent="0.25">
      <c r="B13" s="5"/>
      <c r="C13" s="14"/>
      <c r="D13" t="s">
        <v>2</v>
      </c>
      <c r="F13" s="7" t="s">
        <v>3</v>
      </c>
    </row>
    <row r="14" spans="2:34" x14ac:dyDescent="0.25">
      <c r="B14" s="5"/>
      <c r="C14" s="14" t="s">
        <v>4</v>
      </c>
      <c r="D14">
        <f>0.43*25</f>
        <v>10.75</v>
      </c>
      <c r="F14" s="20">
        <f>190.828*25</f>
        <v>4770.7</v>
      </c>
    </row>
    <row r="15" spans="2:34" x14ac:dyDescent="0.25">
      <c r="B15" s="5"/>
      <c r="C15" s="14" t="s">
        <v>5</v>
      </c>
      <c r="D15">
        <f>9.512*25</f>
        <v>237.8</v>
      </c>
      <c r="F15" s="21">
        <f>53.258*25</f>
        <v>1331.45</v>
      </c>
    </row>
    <row r="16" spans="2:34" ht="15.75" thickBot="1" x14ac:dyDescent="0.3">
      <c r="B16" s="5"/>
      <c r="C16" s="16" t="s">
        <v>6</v>
      </c>
      <c r="D16">
        <f>9.788*25</f>
        <v>244.70000000000002</v>
      </c>
      <c r="E16" s="17"/>
      <c r="F16" s="21">
        <f>48.679*25</f>
        <v>1216.9750000000001</v>
      </c>
    </row>
    <row r="17" spans="2:21" ht="15.75" thickBot="1" x14ac:dyDescent="0.3">
      <c r="B17" s="5"/>
      <c r="D17" s="19">
        <f>19.73*25</f>
        <v>493.25</v>
      </c>
      <c r="F17" s="19">
        <f>292.765*25</f>
        <v>7319.125</v>
      </c>
    </row>
    <row r="18" spans="2:21" x14ac:dyDescent="0.25">
      <c r="B18" s="22" t="s">
        <v>8</v>
      </c>
      <c r="C18" s="23"/>
      <c r="D18" s="23"/>
      <c r="E18" s="23">
        <f>D10-I10</f>
        <v>297.75000000000728</v>
      </c>
      <c r="F18" s="7"/>
    </row>
    <row r="19" spans="2:21" ht="15.75" thickBot="1" x14ac:dyDescent="0.3">
      <c r="B19" s="24" t="s">
        <v>9</v>
      </c>
      <c r="C19" s="25"/>
      <c r="D19" s="25"/>
      <c r="E19" s="25"/>
      <c r="F19" s="26"/>
    </row>
    <row r="20" spans="2:21" x14ac:dyDescent="0.25">
      <c r="B20" s="27" t="s">
        <v>10</v>
      </c>
      <c r="C20" s="27"/>
      <c r="D20" s="27"/>
      <c r="E20" s="27"/>
    </row>
    <row r="21" spans="2:21" ht="15.75" thickBot="1" x14ac:dyDescent="0.3"/>
    <row r="22" spans="2:21" x14ac:dyDescent="0.25">
      <c r="B22" s="1"/>
      <c r="C22" s="2"/>
      <c r="D22" s="3">
        <v>44595</v>
      </c>
      <c r="E22" s="2" t="s">
        <v>29</v>
      </c>
      <c r="F22" s="4"/>
      <c r="H22" s="1"/>
      <c r="I22" s="2"/>
      <c r="J22" s="3">
        <v>44596</v>
      </c>
      <c r="K22" s="2" t="s">
        <v>29</v>
      </c>
      <c r="L22" s="4"/>
    </row>
    <row r="23" spans="2:21" x14ac:dyDescent="0.25">
      <c r="B23" s="5"/>
      <c r="D23" s="6"/>
      <c r="F23" s="7"/>
      <c r="H23" s="5"/>
      <c r="J23" s="6"/>
      <c r="L23" s="7"/>
      <c r="O23" s="32" t="s">
        <v>16</v>
      </c>
      <c r="P23" s="32"/>
      <c r="Q23" s="32"/>
      <c r="R23" s="32"/>
      <c r="S23" s="32"/>
      <c r="T23" s="32"/>
      <c r="U23" s="32"/>
    </row>
    <row r="24" spans="2:21" x14ac:dyDescent="0.25">
      <c r="B24" s="5"/>
      <c r="C24" s="8" t="s">
        <v>0</v>
      </c>
      <c r="D24" s="9"/>
      <c r="E24" s="9"/>
      <c r="F24" s="10"/>
      <c r="H24" s="5"/>
      <c r="I24" s="8" t="s">
        <v>0</v>
      </c>
      <c r="J24" s="9"/>
      <c r="K24" s="9"/>
      <c r="L24" s="10"/>
      <c r="O24" s="32" t="s">
        <v>17</v>
      </c>
      <c r="P24" s="32"/>
      <c r="Q24" s="32"/>
      <c r="R24" s="32"/>
      <c r="S24" s="32"/>
      <c r="T24" s="32"/>
      <c r="U24" s="32"/>
    </row>
    <row r="25" spans="2:21" x14ac:dyDescent="0.25">
      <c r="B25" s="5"/>
      <c r="C25" s="11" t="s">
        <v>1</v>
      </c>
      <c r="D25" s="12"/>
      <c r="E25" s="12"/>
      <c r="F25" s="13"/>
      <c r="H25" s="5"/>
      <c r="I25" s="11" t="s">
        <v>1</v>
      </c>
      <c r="J25" s="12"/>
      <c r="K25" s="12"/>
      <c r="L25" s="13"/>
      <c r="O25" t="s">
        <v>18</v>
      </c>
    </row>
    <row r="26" spans="2:21" x14ac:dyDescent="0.25">
      <c r="B26" s="5"/>
      <c r="C26" s="14"/>
      <c r="D26" t="s">
        <v>2</v>
      </c>
      <c r="F26" s="7" t="s">
        <v>3</v>
      </c>
      <c r="H26" s="5"/>
      <c r="I26" s="14"/>
      <c r="J26" t="s">
        <v>2</v>
      </c>
      <c r="L26" s="7" t="s">
        <v>3</v>
      </c>
      <c r="O26" t="s">
        <v>19</v>
      </c>
    </row>
    <row r="27" spans="2:21" x14ac:dyDescent="0.25">
      <c r="B27" s="5"/>
      <c r="C27" s="14" t="s">
        <v>4</v>
      </c>
      <c r="D27">
        <f>1451.138*25</f>
        <v>36278.449999999997</v>
      </c>
      <c r="F27" s="15">
        <f>0.009*25</f>
        <v>0.22499999999999998</v>
      </c>
      <c r="H27" s="5"/>
      <c r="I27" s="14" t="s">
        <v>4</v>
      </c>
      <c r="J27">
        <f>1451.82*25</f>
        <v>36295.5</v>
      </c>
      <c r="L27" s="15">
        <f>0.009*25</f>
        <v>0.22499999999999998</v>
      </c>
    </row>
    <row r="28" spans="2:21" x14ac:dyDescent="0.25">
      <c r="B28" s="5"/>
      <c r="C28" s="14" t="s">
        <v>5</v>
      </c>
      <c r="D28">
        <f>341.005*25</f>
        <v>8525.125</v>
      </c>
      <c r="F28" s="15">
        <f>0.035*25</f>
        <v>0.87500000000000011</v>
      </c>
      <c r="H28" s="5"/>
      <c r="I28" s="14" t="s">
        <v>5</v>
      </c>
      <c r="J28">
        <f>341.007*25</f>
        <v>8525.1749999999993</v>
      </c>
      <c r="L28" s="15">
        <f>0.035*25</f>
        <v>0.87500000000000011</v>
      </c>
    </row>
    <row r="29" spans="2:21" ht="15.75" thickBot="1" x14ac:dyDescent="0.3">
      <c r="B29" s="5"/>
      <c r="C29" s="16" t="s">
        <v>6</v>
      </c>
      <c r="D29">
        <f>332.94*25</f>
        <v>8323.5</v>
      </c>
      <c r="E29" s="17"/>
      <c r="F29" s="18">
        <f>0.052*25</f>
        <v>1.3</v>
      </c>
      <c r="H29" s="5"/>
      <c r="I29" s="16" t="s">
        <v>6</v>
      </c>
      <c r="J29">
        <f>332.943*25</f>
        <v>8323.5749999999989</v>
      </c>
      <c r="K29" s="17"/>
      <c r="L29" s="18">
        <f>0.052*25</f>
        <v>1.3</v>
      </c>
    </row>
    <row r="30" spans="2:21" ht="15.75" thickBot="1" x14ac:dyDescent="0.3">
      <c r="B30" s="5"/>
      <c r="D30" s="19">
        <f>2125.083*25</f>
        <v>53127.075000000004</v>
      </c>
      <c r="F30" s="19">
        <f>0.096*25</f>
        <v>2.4</v>
      </c>
      <c r="H30" s="5"/>
      <c r="J30" s="19">
        <f>2125.77*25</f>
        <v>53144.25</v>
      </c>
      <c r="L30" s="19">
        <f>0.096*25</f>
        <v>2.4</v>
      </c>
    </row>
    <row r="31" spans="2:21" x14ac:dyDescent="0.25">
      <c r="B31" s="5"/>
      <c r="C31" s="8" t="s">
        <v>7</v>
      </c>
      <c r="D31" s="12"/>
      <c r="E31" s="9"/>
      <c r="F31" s="10"/>
      <c r="H31" s="5"/>
      <c r="I31" s="8" t="s">
        <v>7</v>
      </c>
      <c r="J31" s="12"/>
      <c r="K31" s="9"/>
      <c r="L31" s="10"/>
    </row>
    <row r="32" spans="2:21" x14ac:dyDescent="0.25">
      <c r="B32" s="5"/>
      <c r="C32" s="11" t="s">
        <v>1</v>
      </c>
      <c r="D32" s="12"/>
      <c r="E32" s="12"/>
      <c r="F32" s="13"/>
      <c r="H32" s="5"/>
      <c r="I32" s="11" t="s">
        <v>1</v>
      </c>
      <c r="J32" s="12"/>
      <c r="K32" s="12"/>
      <c r="L32" s="13"/>
    </row>
    <row r="33" spans="2:15" x14ac:dyDescent="0.25">
      <c r="B33" s="5"/>
      <c r="C33" s="14"/>
      <c r="D33" t="s">
        <v>2</v>
      </c>
      <c r="F33" s="7" t="s">
        <v>3</v>
      </c>
      <c r="H33" s="5"/>
      <c r="I33" s="14"/>
      <c r="J33" t="s">
        <v>2</v>
      </c>
      <c r="L33" s="7" t="s">
        <v>3</v>
      </c>
    </row>
    <row r="34" spans="2:15" x14ac:dyDescent="0.25">
      <c r="B34" s="5"/>
      <c r="C34" s="14" t="s">
        <v>4</v>
      </c>
      <c r="D34">
        <f>0.43*25</f>
        <v>10.75</v>
      </c>
      <c r="F34" s="20">
        <f>206.32*25</f>
        <v>5158</v>
      </c>
      <c r="H34" s="5"/>
      <c r="I34" s="14" t="s">
        <v>4</v>
      </c>
      <c r="J34">
        <f>0.43*25</f>
        <v>10.75</v>
      </c>
      <c r="L34" s="20">
        <f>228.295*25</f>
        <v>5707.375</v>
      </c>
    </row>
    <row r="35" spans="2:15" x14ac:dyDescent="0.25">
      <c r="B35" s="5"/>
      <c r="C35" s="14" t="s">
        <v>5</v>
      </c>
      <c r="D35">
        <f>9.512*25</f>
        <v>237.8</v>
      </c>
      <c r="F35" s="21">
        <f>55.594*25</f>
        <v>1389.8500000000001</v>
      </c>
      <c r="H35" s="5"/>
      <c r="I35" s="14" t="s">
        <v>5</v>
      </c>
      <c r="J35">
        <f>9.512*25</f>
        <v>237.8</v>
      </c>
      <c r="L35" s="21">
        <f>60.927*25</f>
        <v>1523.175</v>
      </c>
    </row>
    <row r="36" spans="2:15" ht="15.75" thickBot="1" x14ac:dyDescent="0.3">
      <c r="B36" s="5"/>
      <c r="C36" s="16" t="s">
        <v>6</v>
      </c>
      <c r="D36">
        <f>9.788*25</f>
        <v>244.70000000000002</v>
      </c>
      <c r="E36" s="17"/>
      <c r="F36" s="21">
        <f>50.88*25</f>
        <v>1272</v>
      </c>
      <c r="H36" s="5"/>
      <c r="I36" s="16" t="s">
        <v>6</v>
      </c>
      <c r="J36">
        <f>9.788*25</f>
        <v>244.70000000000002</v>
      </c>
      <c r="K36" s="17"/>
      <c r="L36" s="21">
        <f>55.623*25</f>
        <v>1390.575</v>
      </c>
    </row>
    <row r="37" spans="2:15" ht="15.75" thickBot="1" x14ac:dyDescent="0.3">
      <c r="B37" s="5"/>
      <c r="D37" s="19">
        <f>19.73*25</f>
        <v>493.25</v>
      </c>
      <c r="F37" s="19">
        <f>312.794*25</f>
        <v>7819.8499999999995</v>
      </c>
      <c r="H37" s="5"/>
      <c r="J37" s="19">
        <f>19.73*25</f>
        <v>493.25</v>
      </c>
      <c r="L37" s="19">
        <f>344.845*25</f>
        <v>8621.125</v>
      </c>
    </row>
    <row r="38" spans="2:15" x14ac:dyDescent="0.25">
      <c r="B38" s="22" t="s">
        <v>8</v>
      </c>
      <c r="C38" s="23"/>
      <c r="D38" s="23"/>
      <c r="E38" s="23">
        <f>D30-D10</f>
        <v>148.82500000000437</v>
      </c>
      <c r="F38" s="7"/>
      <c r="H38" s="22" t="s">
        <v>8</v>
      </c>
      <c r="I38" s="23"/>
      <c r="J38" s="23"/>
      <c r="K38" s="23">
        <f>J30-D30</f>
        <v>17.174999999995634</v>
      </c>
      <c r="L38" s="7"/>
    </row>
    <row r="39" spans="2:15" ht="15.75" thickBot="1" x14ac:dyDescent="0.3">
      <c r="B39" s="24" t="s">
        <v>9</v>
      </c>
      <c r="C39" s="25"/>
      <c r="D39" s="25"/>
      <c r="E39" s="25">
        <f>F37-F17</f>
        <v>500.72499999999945</v>
      </c>
      <c r="F39" s="26"/>
      <c r="H39" s="24" t="s">
        <v>9</v>
      </c>
      <c r="I39" s="25"/>
      <c r="J39" s="25"/>
      <c r="K39" s="25">
        <f>L37-F37</f>
        <v>801.27500000000055</v>
      </c>
      <c r="L39" s="26"/>
    </row>
    <row r="40" spans="2:15" x14ac:dyDescent="0.25">
      <c r="B40" s="27" t="s">
        <v>10</v>
      </c>
      <c r="C40" s="27"/>
      <c r="D40" s="27"/>
      <c r="E40" s="27">
        <f>D37-D17</f>
        <v>0</v>
      </c>
      <c r="H40" s="27" t="s">
        <v>10</v>
      </c>
      <c r="I40" s="27"/>
      <c r="J40" s="27"/>
      <c r="K40" s="27">
        <f>J37-D37</f>
        <v>0</v>
      </c>
    </row>
    <row r="41" spans="2:15" ht="15.75" thickBot="1" x14ac:dyDescent="0.3"/>
    <row r="42" spans="2:15" x14ac:dyDescent="0.25">
      <c r="B42" s="1"/>
      <c r="C42" s="2"/>
      <c r="D42" s="3">
        <v>44599</v>
      </c>
      <c r="E42" s="2" t="s">
        <v>22</v>
      </c>
      <c r="F42" s="4"/>
      <c r="H42" s="1"/>
      <c r="I42" s="2"/>
      <c r="J42" s="3">
        <v>44600</v>
      </c>
      <c r="K42" s="2" t="s">
        <v>22</v>
      </c>
      <c r="L42" s="4"/>
    </row>
    <row r="43" spans="2:15" x14ac:dyDescent="0.25">
      <c r="B43" s="5"/>
      <c r="D43" s="6"/>
      <c r="F43" s="7"/>
      <c r="H43" s="5"/>
      <c r="J43" s="6"/>
      <c r="L43" s="7"/>
      <c r="O43" t="s">
        <v>20</v>
      </c>
    </row>
    <row r="44" spans="2:15" x14ac:dyDescent="0.25">
      <c r="B44" s="5"/>
      <c r="C44" s="8" t="s">
        <v>0</v>
      </c>
      <c r="D44" s="9"/>
      <c r="E44" s="9"/>
      <c r="F44" s="10"/>
      <c r="H44" s="5"/>
      <c r="I44" s="8" t="s">
        <v>0</v>
      </c>
      <c r="J44" s="9"/>
      <c r="K44" s="9"/>
      <c r="L44" s="10"/>
      <c r="O44" t="s">
        <v>21</v>
      </c>
    </row>
    <row r="45" spans="2:15" x14ac:dyDescent="0.25">
      <c r="B45" s="5"/>
      <c r="C45" s="11" t="s">
        <v>1</v>
      </c>
      <c r="D45" s="12"/>
      <c r="E45" s="12"/>
      <c r="F45" s="13"/>
      <c r="H45" s="5"/>
      <c r="I45" s="11" t="s">
        <v>1</v>
      </c>
      <c r="J45" s="12"/>
      <c r="K45" s="12"/>
      <c r="L45" s="13"/>
      <c r="O45" t="s">
        <v>23</v>
      </c>
    </row>
    <row r="46" spans="2:15" x14ac:dyDescent="0.25">
      <c r="B46" s="5"/>
      <c r="C46" s="14"/>
      <c r="D46" t="s">
        <v>2</v>
      </c>
      <c r="F46" s="7" t="s">
        <v>3</v>
      </c>
      <c r="H46" s="5"/>
      <c r="I46" s="14"/>
      <c r="J46" t="s">
        <v>2</v>
      </c>
      <c r="L46" s="7" t="s">
        <v>3</v>
      </c>
      <c r="O46" t="s">
        <v>24</v>
      </c>
    </row>
    <row r="47" spans="2:15" x14ac:dyDescent="0.25">
      <c r="B47" s="5"/>
      <c r="C47" s="14" t="s">
        <v>4</v>
      </c>
      <c r="D47">
        <f>1451.829*25</f>
        <v>36295.724999999999</v>
      </c>
      <c r="F47" s="15">
        <f>0.009*25</f>
        <v>0.22499999999999998</v>
      </c>
      <c r="H47" s="5"/>
      <c r="I47" s="14" t="s">
        <v>4</v>
      </c>
      <c r="J47">
        <f>1455.161*25</f>
        <v>36379.025000000001</v>
      </c>
      <c r="L47" s="15">
        <f>0.01*25</f>
        <v>0.25</v>
      </c>
    </row>
    <row r="48" spans="2:15" x14ac:dyDescent="0.25">
      <c r="B48" s="5"/>
      <c r="C48" s="14" t="s">
        <v>5</v>
      </c>
      <c r="D48">
        <f>342.823*25</f>
        <v>8570.5749999999989</v>
      </c>
      <c r="F48" s="15">
        <f>0.035*25</f>
        <v>0.87500000000000011</v>
      </c>
      <c r="H48" s="5"/>
      <c r="I48" s="14" t="s">
        <v>5</v>
      </c>
      <c r="J48">
        <f>342.843*25</f>
        <v>8571.0750000000007</v>
      </c>
      <c r="L48" s="15">
        <f>0.035*25</f>
        <v>0.87500000000000011</v>
      </c>
    </row>
    <row r="49" spans="2:15" ht="15.75" thickBot="1" x14ac:dyDescent="0.3">
      <c r="B49" s="5"/>
      <c r="C49" s="16" t="s">
        <v>6</v>
      </c>
      <c r="D49">
        <f>336.195*25</f>
        <v>8404.875</v>
      </c>
      <c r="E49" s="17"/>
      <c r="F49" s="18">
        <f>0.052*25</f>
        <v>1.3</v>
      </c>
      <c r="H49" s="5"/>
      <c r="I49" s="16" t="s">
        <v>6</v>
      </c>
      <c r="J49">
        <f>336.197*25</f>
        <v>8404.9249999999993</v>
      </c>
      <c r="K49" s="17"/>
      <c r="L49" s="18">
        <f>0.052*25</f>
        <v>1.3</v>
      </c>
    </row>
    <row r="50" spans="2:15" ht="15.75" thickBot="1" x14ac:dyDescent="0.3">
      <c r="B50" s="5"/>
      <c r="D50" s="19">
        <f>2130.847*25</f>
        <v>53271.175000000003</v>
      </c>
      <c r="F50" s="19">
        <f>0.096*25</f>
        <v>2.4</v>
      </c>
      <c r="H50" s="5"/>
      <c r="J50" s="19">
        <f>2134.201*25</f>
        <v>53355.025000000001</v>
      </c>
      <c r="L50" s="19">
        <f>0.097*25</f>
        <v>2.4250000000000003</v>
      </c>
    </row>
    <row r="51" spans="2:15" x14ac:dyDescent="0.25">
      <c r="B51" s="5"/>
      <c r="C51" s="8" t="s">
        <v>7</v>
      </c>
      <c r="D51" s="12"/>
      <c r="E51" s="9"/>
      <c r="F51" s="10"/>
      <c r="H51" s="5"/>
      <c r="I51" s="8" t="s">
        <v>7</v>
      </c>
      <c r="J51" s="12"/>
      <c r="K51" s="9"/>
      <c r="L51" s="10"/>
    </row>
    <row r="52" spans="2:15" x14ac:dyDescent="0.25">
      <c r="B52" s="5"/>
      <c r="C52" s="11" t="s">
        <v>1</v>
      </c>
      <c r="D52" s="12"/>
      <c r="E52" s="12"/>
      <c r="F52" s="13"/>
      <c r="H52" s="5"/>
      <c r="I52" s="11" t="s">
        <v>1</v>
      </c>
      <c r="J52" s="12"/>
      <c r="K52" s="12"/>
      <c r="L52" s="13"/>
    </row>
    <row r="53" spans="2:15" x14ac:dyDescent="0.25">
      <c r="B53" s="5"/>
      <c r="C53" s="14"/>
      <c r="D53" t="s">
        <v>2</v>
      </c>
      <c r="F53" s="7" t="s">
        <v>3</v>
      </c>
      <c r="H53" s="5"/>
      <c r="I53" s="14"/>
      <c r="J53" t="s">
        <v>2</v>
      </c>
      <c r="L53" s="7" t="s">
        <v>3</v>
      </c>
    </row>
    <row r="54" spans="2:15" x14ac:dyDescent="0.25">
      <c r="B54" s="5"/>
      <c r="C54" s="14" t="s">
        <v>4</v>
      </c>
      <c r="D54">
        <f>0.43*25</f>
        <v>10.75</v>
      </c>
      <c r="F54" s="20">
        <f>229.632*25</f>
        <v>5740.8</v>
      </c>
      <c r="H54" s="5"/>
      <c r="I54" s="14" t="s">
        <v>4</v>
      </c>
      <c r="J54">
        <f>0.494*25</f>
        <v>12.35</v>
      </c>
      <c r="L54" s="20">
        <f>249.052*25</f>
        <v>6226.3</v>
      </c>
    </row>
    <row r="55" spans="2:15" x14ac:dyDescent="0.25">
      <c r="B55" s="5"/>
      <c r="C55" s="14" t="s">
        <v>5</v>
      </c>
      <c r="D55">
        <f>9.83*25</f>
        <v>245.75</v>
      </c>
      <c r="F55" s="21">
        <f>72.953*25</f>
        <v>1823.825</v>
      </c>
      <c r="H55" s="5"/>
      <c r="I55" s="14" t="s">
        <v>5</v>
      </c>
      <c r="J55">
        <f>9.83*25</f>
        <v>245.75</v>
      </c>
      <c r="L55" s="21">
        <f>77.48*25</f>
        <v>1937</v>
      </c>
    </row>
    <row r="56" spans="2:15" ht="15.75" thickBot="1" x14ac:dyDescent="0.3">
      <c r="B56" s="5"/>
      <c r="C56" s="16" t="s">
        <v>6</v>
      </c>
      <c r="D56">
        <f>12.472*25</f>
        <v>311.8</v>
      </c>
      <c r="E56" s="17"/>
      <c r="F56" s="21">
        <f>59.754*25</f>
        <v>1493.85</v>
      </c>
      <c r="H56" s="5"/>
      <c r="I56" s="16" t="s">
        <v>6</v>
      </c>
      <c r="J56">
        <f>12.472*25</f>
        <v>311.8</v>
      </c>
      <c r="K56" s="17"/>
      <c r="L56" s="21">
        <f>64.928*25</f>
        <v>1623.1999999999998</v>
      </c>
    </row>
    <row r="57" spans="2:15" ht="15.75" thickBot="1" x14ac:dyDescent="0.3">
      <c r="B57" s="5"/>
      <c r="D57" s="19">
        <f>22.732*25</f>
        <v>568.29999999999995</v>
      </c>
      <c r="F57" s="19">
        <f>362.339*25</f>
        <v>9058.4750000000004</v>
      </c>
      <c r="H57" s="5"/>
      <c r="J57" s="19">
        <f>22.796*25</f>
        <v>569.9</v>
      </c>
      <c r="L57" s="19">
        <f>391.46*25</f>
        <v>9786.5</v>
      </c>
    </row>
    <row r="58" spans="2:15" x14ac:dyDescent="0.25">
      <c r="B58" s="22" t="s">
        <v>8</v>
      </c>
      <c r="C58" s="23"/>
      <c r="D58" s="23"/>
      <c r="E58" s="23">
        <f>D50-J30</f>
        <v>126.92500000000291</v>
      </c>
      <c r="F58" s="7"/>
      <c r="H58" s="22" t="s">
        <v>8</v>
      </c>
      <c r="I58" s="23"/>
      <c r="J58" s="23"/>
      <c r="K58" s="23">
        <f>J50-D50</f>
        <v>83.849999999998545</v>
      </c>
      <c r="L58" s="7"/>
    </row>
    <row r="59" spans="2:15" ht="15.75" thickBot="1" x14ac:dyDescent="0.3">
      <c r="B59" s="24" t="s">
        <v>9</v>
      </c>
      <c r="C59" s="25"/>
      <c r="D59" s="25"/>
      <c r="E59" s="25">
        <f>F57-L37</f>
        <v>437.35000000000036</v>
      </c>
      <c r="F59" s="26"/>
      <c r="H59" s="24" t="s">
        <v>9</v>
      </c>
      <c r="I59" s="25"/>
      <c r="J59" s="25"/>
      <c r="K59" s="25">
        <f>L57-F57</f>
        <v>728.02499999999964</v>
      </c>
      <c r="L59" s="26"/>
    </row>
    <row r="60" spans="2:15" x14ac:dyDescent="0.25">
      <c r="B60" s="27" t="s">
        <v>10</v>
      </c>
      <c r="C60" s="27"/>
      <c r="D60" s="27"/>
      <c r="E60" s="27">
        <f>D57-J37</f>
        <v>75.049999999999955</v>
      </c>
      <c r="H60" s="27" t="s">
        <v>10</v>
      </c>
      <c r="I60" s="27"/>
      <c r="J60" s="27"/>
      <c r="K60" s="27">
        <f>J57-D57</f>
        <v>1.6000000000000227</v>
      </c>
    </row>
    <row r="61" spans="2:15" ht="15.75" thickBot="1" x14ac:dyDescent="0.3"/>
    <row r="62" spans="2:15" x14ac:dyDescent="0.25">
      <c r="B62" s="1"/>
      <c r="C62" s="2"/>
      <c r="D62" s="3">
        <v>44601</v>
      </c>
      <c r="E62" s="2" t="s">
        <v>22</v>
      </c>
      <c r="F62" s="4"/>
      <c r="H62" s="1"/>
      <c r="I62" s="2"/>
      <c r="J62" s="3">
        <v>44602</v>
      </c>
      <c r="K62" s="2" t="s">
        <v>22</v>
      </c>
      <c r="L62" s="4"/>
    </row>
    <row r="63" spans="2:15" x14ac:dyDescent="0.25">
      <c r="B63" s="5"/>
      <c r="D63" s="6"/>
      <c r="F63" s="7"/>
      <c r="H63" s="5"/>
      <c r="J63" s="6"/>
      <c r="L63" s="7"/>
      <c r="O63" t="s">
        <v>27</v>
      </c>
    </row>
    <row r="64" spans="2:15" x14ac:dyDescent="0.25">
      <c r="B64" s="5"/>
      <c r="C64" s="8" t="s">
        <v>0</v>
      </c>
      <c r="D64" s="9"/>
      <c r="E64" s="9"/>
      <c r="F64" s="10"/>
      <c r="H64" s="5"/>
      <c r="I64" s="8" t="s">
        <v>0</v>
      </c>
      <c r="J64" s="9"/>
      <c r="K64" s="9"/>
      <c r="L64" s="10"/>
      <c r="O64" t="s">
        <v>25</v>
      </c>
    </row>
    <row r="65" spans="2:15" x14ac:dyDescent="0.25">
      <c r="B65" s="5"/>
      <c r="C65" s="11" t="s">
        <v>1</v>
      </c>
      <c r="D65" s="12"/>
      <c r="E65" s="12"/>
      <c r="F65" s="13"/>
      <c r="H65" s="5"/>
      <c r="I65" s="11" t="s">
        <v>1</v>
      </c>
      <c r="J65" s="12"/>
      <c r="K65" s="12"/>
      <c r="L65" s="13"/>
      <c r="O65" t="s">
        <v>28</v>
      </c>
    </row>
    <row r="66" spans="2:15" x14ac:dyDescent="0.25">
      <c r="B66" s="5"/>
      <c r="C66" s="14"/>
      <c r="D66" t="s">
        <v>2</v>
      </c>
      <c r="F66" s="7" t="s">
        <v>3</v>
      </c>
      <c r="H66" s="5"/>
      <c r="I66" s="14"/>
      <c r="J66" t="s">
        <v>2</v>
      </c>
      <c r="L66" s="7" t="s">
        <v>3</v>
      </c>
      <c r="O66" t="s">
        <v>26</v>
      </c>
    </row>
    <row r="67" spans="2:15" x14ac:dyDescent="0.25">
      <c r="B67" s="5"/>
      <c r="C67" s="14" t="s">
        <v>4</v>
      </c>
      <c r="D67">
        <f>1461.789*25</f>
        <v>36544.724999999999</v>
      </c>
      <c r="F67" s="15">
        <f>0.01*25</f>
        <v>0.25</v>
      </c>
      <c r="H67" s="5"/>
      <c r="I67" s="14" t="s">
        <v>4</v>
      </c>
      <c r="J67">
        <f>1468.543*25</f>
        <v>36713.574999999997</v>
      </c>
      <c r="L67" s="15">
        <f>0.01*25</f>
        <v>0.25</v>
      </c>
    </row>
    <row r="68" spans="2:15" x14ac:dyDescent="0.25">
      <c r="B68" s="5"/>
      <c r="C68" s="14" t="s">
        <v>5</v>
      </c>
      <c r="D68">
        <f>342.87*25</f>
        <v>8571.75</v>
      </c>
      <c r="F68" s="15">
        <f>0.035*25</f>
        <v>0.87500000000000011</v>
      </c>
      <c r="H68" s="5"/>
      <c r="I68" s="14" t="s">
        <v>5</v>
      </c>
      <c r="J68">
        <f>342.9*25</f>
        <v>8572.5</v>
      </c>
      <c r="L68" s="15">
        <f>0.052*25</f>
        <v>1.3</v>
      </c>
    </row>
    <row r="69" spans="2:15" ht="15.75" thickBot="1" x14ac:dyDescent="0.3">
      <c r="B69" s="5"/>
      <c r="C69" s="16" t="s">
        <v>6</v>
      </c>
      <c r="D69">
        <f>336.199*25</f>
        <v>8404.9750000000004</v>
      </c>
      <c r="E69" s="17"/>
      <c r="F69" s="18">
        <f>0.052*25</f>
        <v>1.3</v>
      </c>
      <c r="H69" s="5"/>
      <c r="I69" s="16" t="s">
        <v>6</v>
      </c>
      <c r="J69">
        <f>336.201*25</f>
        <v>8405.0250000000015</v>
      </c>
      <c r="K69" s="17"/>
      <c r="L69" s="18">
        <f>0.035*25</f>
        <v>0.87500000000000011</v>
      </c>
    </row>
    <row r="70" spans="2:15" ht="15.75" thickBot="1" x14ac:dyDescent="0.3">
      <c r="B70" s="5"/>
      <c r="D70" s="19">
        <f>2140.858*25</f>
        <v>53521.450000000004</v>
      </c>
      <c r="F70" s="19">
        <f>0.097*25</f>
        <v>2.4250000000000003</v>
      </c>
      <c r="H70" s="5"/>
      <c r="J70" s="19">
        <f>2147.644*25</f>
        <v>53691.099999999991</v>
      </c>
      <c r="L70" s="19">
        <f>0.097*25</f>
        <v>2.4250000000000003</v>
      </c>
    </row>
    <row r="71" spans="2:15" x14ac:dyDescent="0.25">
      <c r="B71" s="5"/>
      <c r="C71" s="8" t="s">
        <v>7</v>
      </c>
      <c r="D71" s="12"/>
      <c r="E71" s="9"/>
      <c r="F71" s="10"/>
      <c r="H71" s="5"/>
      <c r="I71" s="8" t="s">
        <v>7</v>
      </c>
      <c r="J71" s="12"/>
      <c r="K71" s="9"/>
      <c r="L71" s="10"/>
    </row>
    <row r="72" spans="2:15" x14ac:dyDescent="0.25">
      <c r="B72" s="5"/>
      <c r="C72" s="11" t="s">
        <v>1</v>
      </c>
      <c r="D72" s="12"/>
      <c r="E72" s="12"/>
      <c r="F72" s="13"/>
      <c r="H72" s="5"/>
      <c r="I72" s="11" t="s">
        <v>1</v>
      </c>
      <c r="J72" s="12"/>
      <c r="K72" s="12"/>
      <c r="L72" s="13"/>
    </row>
    <row r="73" spans="2:15" x14ac:dyDescent="0.25">
      <c r="B73" s="5"/>
      <c r="C73" s="14"/>
      <c r="D73" t="s">
        <v>2</v>
      </c>
      <c r="F73" s="7" t="s">
        <v>3</v>
      </c>
      <c r="H73" s="5"/>
      <c r="I73" s="14"/>
      <c r="J73" t="s">
        <v>2</v>
      </c>
      <c r="L73" s="7" t="s">
        <v>3</v>
      </c>
    </row>
    <row r="74" spans="2:15" x14ac:dyDescent="0.25">
      <c r="B74" s="5"/>
      <c r="C74" s="14" t="s">
        <v>4</v>
      </c>
      <c r="D74">
        <f>0.633*25</f>
        <v>15.824999999999999</v>
      </c>
      <c r="F74" s="20">
        <f>262.467*25</f>
        <v>6561.6749999999993</v>
      </c>
      <c r="H74" s="5"/>
      <c r="I74" s="14" t="s">
        <v>4</v>
      </c>
      <c r="J74">
        <f>0.944*25</f>
        <v>23.599999999999998</v>
      </c>
      <c r="L74" s="20">
        <f>273.432*25</f>
        <v>6835.8</v>
      </c>
    </row>
    <row r="75" spans="2:15" x14ac:dyDescent="0.25">
      <c r="B75" s="5"/>
      <c r="C75" s="14" t="s">
        <v>5</v>
      </c>
      <c r="D75">
        <f>9.83*25</f>
        <v>245.75</v>
      </c>
      <c r="F75" s="21">
        <f>79.753*25</f>
        <v>1993.825</v>
      </c>
      <c r="H75" s="5"/>
      <c r="I75" s="14" t="s">
        <v>5</v>
      </c>
      <c r="J75">
        <f>9.83*25</f>
        <v>245.75</v>
      </c>
      <c r="L75" s="21">
        <f>81.833*25</f>
        <v>2045.825</v>
      </c>
    </row>
    <row r="76" spans="2:15" ht="15.75" thickBot="1" x14ac:dyDescent="0.3">
      <c r="B76" s="5"/>
      <c r="C76" s="16" t="s">
        <v>6</v>
      </c>
      <c r="D76">
        <f>12.472*25</f>
        <v>311.8</v>
      </c>
      <c r="E76" s="17"/>
      <c r="F76" s="21">
        <f>66.147*25</f>
        <v>1653.6750000000002</v>
      </c>
      <c r="H76" s="5"/>
      <c r="I76" s="16" t="s">
        <v>6</v>
      </c>
      <c r="J76">
        <f>12.472*25</f>
        <v>311.8</v>
      </c>
      <c r="K76" s="17"/>
      <c r="L76" s="21">
        <f>67.243*25</f>
        <v>1681.0749999999998</v>
      </c>
    </row>
    <row r="77" spans="2:15" ht="15.75" thickBot="1" x14ac:dyDescent="0.3">
      <c r="B77" s="5"/>
      <c r="D77" s="19">
        <f>22.935*25</f>
        <v>573.375</v>
      </c>
      <c r="F77" s="19">
        <f>408.36725*25</f>
        <v>10209.18125</v>
      </c>
      <c r="H77" s="5"/>
      <c r="J77" s="19">
        <f>23.246*25</f>
        <v>581.15</v>
      </c>
      <c r="L77" s="19">
        <f>422.508*25</f>
        <v>10562.699999999999</v>
      </c>
    </row>
    <row r="78" spans="2:15" x14ac:dyDescent="0.25">
      <c r="B78" s="22" t="s">
        <v>8</v>
      </c>
      <c r="C78" s="23"/>
      <c r="D78" s="23"/>
      <c r="E78" s="23">
        <f>D70-J50</f>
        <v>166.42500000000291</v>
      </c>
      <c r="F78" s="7"/>
      <c r="H78" s="22" t="s">
        <v>8</v>
      </c>
      <c r="I78" s="23"/>
      <c r="J78" s="23"/>
      <c r="K78" s="23">
        <f>J70-D70</f>
        <v>169.6499999999869</v>
      </c>
      <c r="L78" s="7"/>
    </row>
    <row r="79" spans="2:15" ht="15.75" thickBot="1" x14ac:dyDescent="0.3">
      <c r="B79" s="24" t="s">
        <v>9</v>
      </c>
      <c r="C79" s="25"/>
      <c r="D79" s="25"/>
      <c r="E79" s="25">
        <f>F77-L57</f>
        <v>422.68124999999964</v>
      </c>
      <c r="F79" s="26"/>
      <c r="H79" s="24" t="s">
        <v>9</v>
      </c>
      <c r="I79" s="25"/>
      <c r="J79" s="25"/>
      <c r="K79" s="25">
        <f>L77-F77</f>
        <v>353.51874999999927</v>
      </c>
      <c r="L79" s="26"/>
    </row>
    <row r="80" spans="2:15" x14ac:dyDescent="0.25">
      <c r="B80" s="27" t="s">
        <v>10</v>
      </c>
      <c r="C80" s="27"/>
      <c r="D80" s="27"/>
      <c r="E80" s="27">
        <f>D77-J57</f>
        <v>3.4750000000000227</v>
      </c>
      <c r="H80" s="27" t="s">
        <v>10</v>
      </c>
      <c r="I80" s="27"/>
      <c r="J80" s="27"/>
      <c r="K80" s="27">
        <f>J77-D77</f>
        <v>7.7749999999999773</v>
      </c>
    </row>
    <row r="81" spans="2:15" ht="15.75" thickBot="1" x14ac:dyDescent="0.3"/>
    <row r="82" spans="2:15" x14ac:dyDescent="0.25">
      <c r="B82" s="1"/>
      <c r="C82" s="2"/>
      <c r="D82" s="3">
        <v>44603</v>
      </c>
      <c r="E82" s="2" t="s">
        <v>30</v>
      </c>
      <c r="F82" s="4"/>
      <c r="H82" s="1"/>
      <c r="I82" s="2"/>
      <c r="J82" s="3">
        <v>44606</v>
      </c>
      <c r="K82" s="2" t="s">
        <v>22</v>
      </c>
      <c r="L82" s="4"/>
    </row>
    <row r="83" spans="2:15" x14ac:dyDescent="0.25">
      <c r="B83" s="5"/>
      <c r="D83" s="6"/>
      <c r="F83" s="7"/>
      <c r="H83" s="5"/>
      <c r="J83" s="6"/>
      <c r="L83" s="7"/>
      <c r="O83" t="s">
        <v>34</v>
      </c>
    </row>
    <row r="84" spans="2:15" x14ac:dyDescent="0.25">
      <c r="B84" s="5"/>
      <c r="C84" s="8" t="s">
        <v>0</v>
      </c>
      <c r="D84" s="9"/>
      <c r="E84" s="9"/>
      <c r="F84" s="10"/>
      <c r="H84" s="5"/>
      <c r="I84" s="8" t="s">
        <v>0</v>
      </c>
      <c r="J84" s="9"/>
      <c r="K84" s="9"/>
      <c r="L84" s="10"/>
      <c r="O84" t="s">
        <v>31</v>
      </c>
    </row>
    <row r="85" spans="2:15" x14ac:dyDescent="0.25">
      <c r="B85" s="5"/>
      <c r="C85" s="11" t="s">
        <v>1</v>
      </c>
      <c r="D85" s="12"/>
      <c r="E85" s="12"/>
      <c r="F85" s="13"/>
      <c r="H85" s="5"/>
      <c r="I85" s="11" t="s">
        <v>1</v>
      </c>
      <c r="J85" s="12"/>
      <c r="K85" s="12"/>
      <c r="L85" s="13"/>
      <c r="O85" t="s">
        <v>33</v>
      </c>
    </row>
    <row r="86" spans="2:15" x14ac:dyDescent="0.25">
      <c r="B86" s="5"/>
      <c r="C86" s="14"/>
      <c r="D86" t="s">
        <v>2</v>
      </c>
      <c r="F86" s="7" t="s">
        <v>3</v>
      </c>
      <c r="H86" s="5"/>
      <c r="I86" s="14"/>
      <c r="J86" t="s">
        <v>2</v>
      </c>
      <c r="L86" s="7" t="s">
        <v>3</v>
      </c>
      <c r="O86" t="s">
        <v>32</v>
      </c>
    </row>
    <row r="87" spans="2:15" x14ac:dyDescent="0.25">
      <c r="B87" s="5"/>
      <c r="C87" s="14" t="s">
        <v>4</v>
      </c>
      <c r="D87">
        <f>1477.598*25</f>
        <v>36939.949999999997</v>
      </c>
      <c r="F87" s="15">
        <f>0.01*25</f>
        <v>0.25</v>
      </c>
      <c r="H87" s="5"/>
      <c r="I87" s="14" t="s">
        <v>4</v>
      </c>
      <c r="J87">
        <f>1481.138*25</f>
        <v>37028.449999999997</v>
      </c>
      <c r="L87" s="15">
        <f>0.01*25</f>
        <v>0.25</v>
      </c>
    </row>
    <row r="88" spans="2:15" x14ac:dyDescent="0.25">
      <c r="B88" s="5"/>
      <c r="C88" s="14" t="s">
        <v>5</v>
      </c>
      <c r="D88">
        <f>342.932*25</f>
        <v>8573.3000000000011</v>
      </c>
      <c r="F88" s="15">
        <f>0.035*25</f>
        <v>0.87500000000000011</v>
      </c>
      <c r="H88" s="5"/>
      <c r="I88" s="14" t="s">
        <v>5</v>
      </c>
      <c r="J88">
        <f>348.665*25</f>
        <v>8716.625</v>
      </c>
      <c r="L88" s="15">
        <f>0.035*25</f>
        <v>0.87500000000000011</v>
      </c>
    </row>
    <row r="89" spans="2:15" ht="15.75" thickBot="1" x14ac:dyDescent="0.3">
      <c r="B89" s="5"/>
      <c r="C89" s="16" t="s">
        <v>6</v>
      </c>
      <c r="D89">
        <f>336.203*25</f>
        <v>8405.0749999999989</v>
      </c>
      <c r="E89" s="17"/>
      <c r="F89" s="18">
        <f>0.052*25</f>
        <v>1.3</v>
      </c>
      <c r="H89" s="5"/>
      <c r="I89" s="16" t="s">
        <v>6</v>
      </c>
      <c r="J89">
        <f>340.589*25</f>
        <v>8514.7250000000004</v>
      </c>
      <c r="K89" s="17"/>
      <c r="L89" s="18">
        <f>0.054*25</f>
        <v>1.35</v>
      </c>
    </row>
    <row r="90" spans="2:15" ht="15.75" thickBot="1" x14ac:dyDescent="0.3">
      <c r="B90" s="5"/>
      <c r="D90" s="19">
        <f>2156.733*25</f>
        <v>53918.325000000004</v>
      </c>
      <c r="F90" s="19">
        <f>SUM(F87:F89)</f>
        <v>2.4249999999999998</v>
      </c>
      <c r="H90" s="5"/>
      <c r="J90" s="19">
        <f>2170.392*25</f>
        <v>54259.799999999996</v>
      </c>
      <c r="L90" s="19">
        <f>SUM(L87:L89)</f>
        <v>2.4750000000000001</v>
      </c>
    </row>
    <row r="91" spans="2:15" x14ac:dyDescent="0.25">
      <c r="B91" s="5"/>
      <c r="C91" s="8" t="s">
        <v>7</v>
      </c>
      <c r="D91" s="12"/>
      <c r="E91" s="9"/>
      <c r="F91" s="10"/>
      <c r="H91" s="5"/>
      <c r="I91" s="8" t="s">
        <v>7</v>
      </c>
      <c r="J91" s="12"/>
      <c r="K91" s="9"/>
      <c r="L91" s="10"/>
    </row>
    <row r="92" spans="2:15" x14ac:dyDescent="0.25">
      <c r="B92" s="5"/>
      <c r="C92" s="11" t="s">
        <v>1</v>
      </c>
      <c r="D92" s="12"/>
      <c r="E92" s="12"/>
      <c r="F92" s="13"/>
      <c r="H92" s="5"/>
      <c r="I92" s="11" t="s">
        <v>1</v>
      </c>
      <c r="J92" s="12"/>
      <c r="K92" s="12"/>
      <c r="L92" s="13"/>
    </row>
    <row r="93" spans="2:15" x14ac:dyDescent="0.25">
      <c r="B93" s="5"/>
      <c r="C93" s="14"/>
      <c r="D93" t="s">
        <v>2</v>
      </c>
      <c r="F93" s="7" t="s">
        <v>3</v>
      </c>
      <c r="H93" s="5"/>
      <c r="I93" s="14"/>
      <c r="J93" t="s">
        <v>2</v>
      </c>
      <c r="L93" s="7" t="s">
        <v>3</v>
      </c>
    </row>
    <row r="94" spans="2:15" x14ac:dyDescent="0.25">
      <c r="B94" s="5"/>
      <c r="C94" s="14" t="s">
        <v>4</v>
      </c>
      <c r="D94">
        <f>1.319*25</f>
        <v>32.975000000000001</v>
      </c>
      <c r="F94" s="20">
        <f>286.759*25</f>
        <v>7168.9750000000004</v>
      </c>
      <c r="H94" s="5"/>
      <c r="I94" s="14" t="s">
        <v>4</v>
      </c>
      <c r="J94">
        <f>1.915*25</f>
        <v>47.875</v>
      </c>
      <c r="L94" s="20">
        <f>291.475*25</f>
        <v>7286.8750000000009</v>
      </c>
    </row>
    <row r="95" spans="2:15" x14ac:dyDescent="0.25">
      <c r="B95" s="5"/>
      <c r="C95" s="14" t="s">
        <v>5</v>
      </c>
      <c r="D95">
        <f>9.83*25</f>
        <v>245.75</v>
      </c>
      <c r="F95" s="21">
        <f>83.826*25</f>
        <v>2095.6499999999996</v>
      </c>
      <c r="H95" s="5"/>
      <c r="I95" s="14" t="s">
        <v>5</v>
      </c>
      <c r="J95">
        <f>14.601*25</f>
        <v>365.02500000000003</v>
      </c>
      <c r="L95" s="21">
        <f>86.901*25</f>
        <v>2172.5250000000001</v>
      </c>
    </row>
    <row r="96" spans="2:15" ht="15.75" thickBot="1" x14ac:dyDescent="0.3">
      <c r="B96" s="5"/>
      <c r="C96" s="16" t="s">
        <v>6</v>
      </c>
      <c r="D96">
        <f>12.472*25</f>
        <v>311.8</v>
      </c>
      <c r="E96" s="17"/>
      <c r="F96" s="21">
        <f>68.335*25</f>
        <v>1708.3749999999998</v>
      </c>
      <c r="H96" s="5"/>
      <c r="I96" s="16" t="s">
        <v>6</v>
      </c>
      <c r="J96">
        <f>16.287*25</f>
        <v>407.17499999999995</v>
      </c>
      <c r="K96" s="17"/>
      <c r="L96" s="21">
        <f>73.334*25</f>
        <v>1833.3500000000001</v>
      </c>
    </row>
    <row r="97" spans="2:15" ht="15.75" thickBot="1" x14ac:dyDescent="0.3">
      <c r="B97" s="5"/>
      <c r="D97" s="19">
        <f>SUM(D94:D96)</f>
        <v>590.52500000000009</v>
      </c>
      <c r="F97" s="19">
        <f>SUM(F94:F96)</f>
        <v>10973</v>
      </c>
      <c r="H97" s="5"/>
      <c r="J97" s="19">
        <f>SUM(J94:J96)</f>
        <v>820.07500000000005</v>
      </c>
      <c r="L97" s="19">
        <f>SUM(L94:L96)</f>
        <v>11292.750000000002</v>
      </c>
    </row>
    <row r="98" spans="2:15" x14ac:dyDescent="0.25">
      <c r="B98" s="22" t="s">
        <v>8</v>
      </c>
      <c r="C98" s="23"/>
      <c r="D98" s="23"/>
      <c r="E98" s="23">
        <f>D90-J70</f>
        <v>227.2250000000131</v>
      </c>
      <c r="F98" s="7"/>
      <c r="H98" s="22" t="s">
        <v>8</v>
      </c>
      <c r="I98" s="23"/>
      <c r="J98" s="23"/>
      <c r="K98" s="23">
        <f>J90-D90</f>
        <v>341.47499999999127</v>
      </c>
      <c r="L98" s="7"/>
    </row>
    <row r="99" spans="2:15" ht="15.75" thickBot="1" x14ac:dyDescent="0.3">
      <c r="B99" s="24" t="s">
        <v>9</v>
      </c>
      <c r="C99" s="25"/>
      <c r="D99" s="25"/>
      <c r="E99" s="25">
        <f>F97-L77</f>
        <v>410.30000000000109</v>
      </c>
      <c r="F99" s="26"/>
      <c r="H99" s="24" t="s">
        <v>9</v>
      </c>
      <c r="I99" s="25"/>
      <c r="J99" s="25"/>
      <c r="K99" s="25">
        <f>L97-F97</f>
        <v>319.75000000000182</v>
      </c>
      <c r="L99" s="26"/>
    </row>
    <row r="100" spans="2:15" x14ac:dyDescent="0.25">
      <c r="B100" s="27" t="s">
        <v>10</v>
      </c>
      <c r="C100" s="27"/>
      <c r="D100" s="27"/>
      <c r="E100" s="27">
        <f>D97-J77</f>
        <v>9.3750000000001137</v>
      </c>
      <c r="H100" s="27" t="s">
        <v>10</v>
      </c>
      <c r="I100" s="27"/>
      <c r="J100" s="27"/>
      <c r="K100" s="27">
        <f>J97-D97</f>
        <v>229.54999999999995</v>
      </c>
    </row>
    <row r="101" spans="2:15" ht="15.75" thickBot="1" x14ac:dyDescent="0.3"/>
    <row r="102" spans="2:15" x14ac:dyDescent="0.25">
      <c r="B102" s="1"/>
      <c r="C102" s="2"/>
      <c r="D102" s="3">
        <v>44607</v>
      </c>
      <c r="E102" s="2" t="s">
        <v>35</v>
      </c>
      <c r="F102" s="4"/>
      <c r="H102" s="1"/>
      <c r="I102" s="2"/>
      <c r="J102" s="3">
        <v>44608</v>
      </c>
      <c r="K102" s="2"/>
      <c r="L102" s="4"/>
    </row>
    <row r="103" spans="2:15" x14ac:dyDescent="0.25">
      <c r="B103" s="5"/>
      <c r="D103" s="6"/>
      <c r="F103" s="7"/>
      <c r="H103" s="5"/>
      <c r="J103" s="6"/>
      <c r="L103" s="7"/>
      <c r="O103" t="s">
        <v>36</v>
      </c>
    </row>
    <row r="104" spans="2:15" x14ac:dyDescent="0.25">
      <c r="B104" s="5"/>
      <c r="C104" s="8" t="s">
        <v>0</v>
      </c>
      <c r="D104" s="9"/>
      <c r="E104" s="9"/>
      <c r="F104" s="10"/>
      <c r="H104" s="5"/>
      <c r="I104" s="8" t="s">
        <v>0</v>
      </c>
      <c r="J104" s="9"/>
      <c r="K104" s="9"/>
      <c r="L104" s="10"/>
      <c r="O104" t="s">
        <v>37</v>
      </c>
    </row>
    <row r="105" spans="2:15" x14ac:dyDescent="0.25">
      <c r="B105" s="5"/>
      <c r="C105" s="11" t="s">
        <v>1</v>
      </c>
      <c r="D105" s="12"/>
      <c r="E105" s="12"/>
      <c r="F105" s="13"/>
      <c r="H105" s="5"/>
      <c r="I105" s="11" t="s">
        <v>1</v>
      </c>
      <c r="J105" s="12"/>
      <c r="K105" s="12"/>
      <c r="L105" s="13"/>
      <c r="O105" t="s">
        <v>39</v>
      </c>
    </row>
    <row r="106" spans="2:15" x14ac:dyDescent="0.25">
      <c r="B106" s="5"/>
      <c r="C106" s="14"/>
      <c r="D106" t="s">
        <v>2</v>
      </c>
      <c r="F106" s="7" t="s">
        <v>3</v>
      </c>
      <c r="H106" s="5"/>
      <c r="I106" s="14"/>
      <c r="J106" t="s">
        <v>2</v>
      </c>
      <c r="L106" s="7" t="s">
        <v>3</v>
      </c>
      <c r="O106" t="s">
        <v>38</v>
      </c>
    </row>
    <row r="107" spans="2:15" x14ac:dyDescent="0.25">
      <c r="B107" s="5"/>
      <c r="C107" s="14" t="s">
        <v>4</v>
      </c>
      <c r="D107">
        <f>1485.83*25</f>
        <v>37145.75</v>
      </c>
      <c r="F107" s="15">
        <f>0.01*25</f>
        <v>0.25</v>
      </c>
      <c r="H107" s="5"/>
      <c r="I107" s="14" t="s">
        <v>4</v>
      </c>
      <c r="J107">
        <f>1488.438*25</f>
        <v>37210.950000000004</v>
      </c>
      <c r="L107" s="15">
        <f>0.01*25</f>
        <v>0.25</v>
      </c>
    </row>
    <row r="108" spans="2:15" x14ac:dyDescent="0.25">
      <c r="B108" s="5"/>
      <c r="C108" s="14" t="s">
        <v>5</v>
      </c>
      <c r="D108">
        <f>348.674*25</f>
        <v>8716.8499999999985</v>
      </c>
      <c r="F108" s="15">
        <f>0.035*25</f>
        <v>0.87500000000000011</v>
      </c>
      <c r="H108" s="5"/>
      <c r="I108" s="14" t="s">
        <v>5</v>
      </c>
      <c r="J108">
        <f>348.71*25</f>
        <v>8717.75</v>
      </c>
      <c r="L108" s="15">
        <f>0.035*25</f>
        <v>0.87500000000000011</v>
      </c>
    </row>
    <row r="109" spans="2:15" ht="15.75" thickBot="1" x14ac:dyDescent="0.3">
      <c r="B109" s="5"/>
      <c r="C109" s="16" t="s">
        <v>6</v>
      </c>
      <c r="D109">
        <f>340.591*25</f>
        <v>8514.7749999999996</v>
      </c>
      <c r="E109" s="17"/>
      <c r="F109" s="18">
        <f>0.054*25</f>
        <v>1.35</v>
      </c>
      <c r="H109" s="5"/>
      <c r="I109" s="16" t="s">
        <v>6</v>
      </c>
      <c r="J109">
        <f>340.594*25</f>
        <v>8514.85</v>
      </c>
      <c r="K109" s="17"/>
      <c r="L109" s="18">
        <f>0.054*25</f>
        <v>1.35</v>
      </c>
    </row>
    <row r="110" spans="2:15" ht="15.75" thickBot="1" x14ac:dyDescent="0.3">
      <c r="B110" s="5"/>
      <c r="D110" s="19">
        <f>2175.095*25</f>
        <v>54377.374999999993</v>
      </c>
      <c r="F110" s="19">
        <f>SUM(F107:F109)</f>
        <v>2.4750000000000001</v>
      </c>
      <c r="H110" s="5"/>
      <c r="J110" s="19">
        <v>54443.55</v>
      </c>
      <c r="L110" s="19">
        <f>SUM(L107:L109)</f>
        <v>2.4750000000000001</v>
      </c>
    </row>
    <row r="111" spans="2:15" x14ac:dyDescent="0.25">
      <c r="B111" s="5"/>
      <c r="C111" s="8" t="s">
        <v>7</v>
      </c>
      <c r="D111" s="12"/>
      <c r="E111" s="9"/>
      <c r="F111" s="10"/>
      <c r="H111" s="5"/>
      <c r="I111" s="8" t="s">
        <v>7</v>
      </c>
      <c r="J111" s="12"/>
      <c r="K111" s="9"/>
      <c r="L111" s="10"/>
    </row>
    <row r="112" spans="2:15" x14ac:dyDescent="0.25">
      <c r="B112" s="5"/>
      <c r="C112" s="11" t="s">
        <v>1</v>
      </c>
      <c r="D112" s="12"/>
      <c r="E112" s="12"/>
      <c r="F112" s="13"/>
      <c r="H112" s="5"/>
      <c r="I112" s="11" t="s">
        <v>1</v>
      </c>
      <c r="J112" s="12"/>
      <c r="K112" s="12"/>
      <c r="L112" s="13"/>
    </row>
    <row r="113" spans="2:15" x14ac:dyDescent="0.25">
      <c r="B113" s="5"/>
      <c r="C113" s="14"/>
      <c r="D113" t="s">
        <v>2</v>
      </c>
      <c r="F113" s="7" t="s">
        <v>3</v>
      </c>
      <c r="H113" s="5"/>
      <c r="I113" s="14"/>
      <c r="J113" t="s">
        <v>2</v>
      </c>
      <c r="L113" s="7" t="s">
        <v>3</v>
      </c>
    </row>
    <row r="114" spans="2:15" x14ac:dyDescent="0.25">
      <c r="B114" s="5"/>
      <c r="C114" s="14" t="s">
        <v>4</v>
      </c>
      <c r="D114">
        <f>2.168*25</f>
        <v>54.2</v>
      </c>
      <c r="F114" s="20">
        <f>304.255*25</f>
        <v>7606.375</v>
      </c>
      <c r="H114" s="5"/>
      <c r="I114" s="14" t="s">
        <v>4</v>
      </c>
      <c r="J114">
        <f>2.335*25</f>
        <v>58.375</v>
      </c>
      <c r="L114" s="20">
        <f>310.615*25</f>
        <v>7765.375</v>
      </c>
    </row>
    <row r="115" spans="2:15" x14ac:dyDescent="0.25">
      <c r="B115" s="5"/>
      <c r="C115" s="14" t="s">
        <v>5</v>
      </c>
      <c r="D115">
        <f>14.601*25</f>
        <v>365.02500000000003</v>
      </c>
      <c r="F115" s="21">
        <f>89.771*25</f>
        <v>2244.2750000000001</v>
      </c>
      <c r="H115" s="5"/>
      <c r="I115" s="14" t="s">
        <v>5</v>
      </c>
      <c r="J115">
        <f>14.601*25</f>
        <v>365.02500000000003</v>
      </c>
      <c r="L115" s="21">
        <f>92.834*25</f>
        <v>2320.85</v>
      </c>
    </row>
    <row r="116" spans="2:15" ht="15.75" thickBot="1" x14ac:dyDescent="0.3">
      <c r="B116" s="5"/>
      <c r="C116" s="16" t="s">
        <v>6</v>
      </c>
      <c r="D116">
        <f>16.287*25</f>
        <v>407.17499999999995</v>
      </c>
      <c r="E116" s="17"/>
      <c r="F116" s="21">
        <f>76.223*25</f>
        <v>1905.575</v>
      </c>
      <c r="H116" s="5"/>
      <c r="I116" s="16" t="s">
        <v>6</v>
      </c>
      <c r="J116">
        <f>16.287*25</f>
        <v>407.17499999999995</v>
      </c>
      <c r="K116" s="17"/>
      <c r="L116" s="21">
        <f>77.395*25</f>
        <v>1934.875</v>
      </c>
    </row>
    <row r="117" spans="2:15" ht="15.75" thickBot="1" x14ac:dyDescent="0.3">
      <c r="B117" s="5"/>
      <c r="D117" s="19">
        <f>SUM(D114:D116)</f>
        <v>826.4</v>
      </c>
      <c r="F117" s="19">
        <f>SUM(F114:F116)</f>
        <v>11756.225</v>
      </c>
      <c r="H117" s="5"/>
      <c r="J117" s="19">
        <f>SUM(J114:J116)</f>
        <v>830.57500000000005</v>
      </c>
      <c r="L117" s="19">
        <f>SUM(L114:L116)</f>
        <v>12021.1</v>
      </c>
    </row>
    <row r="118" spans="2:15" x14ac:dyDescent="0.25">
      <c r="B118" s="22" t="s">
        <v>8</v>
      </c>
      <c r="C118" s="23"/>
      <c r="D118" s="23"/>
      <c r="E118" s="23">
        <f>D110-J90</f>
        <v>117.57499999999709</v>
      </c>
      <c r="F118" s="7"/>
      <c r="H118" s="22" t="s">
        <v>8</v>
      </c>
      <c r="I118" s="23"/>
      <c r="J118" s="23"/>
      <c r="K118" s="23">
        <f>J110-D110</f>
        <v>66.175000000010186</v>
      </c>
      <c r="L118" s="7"/>
    </row>
    <row r="119" spans="2:15" ht="15.75" thickBot="1" x14ac:dyDescent="0.3">
      <c r="B119" s="24" t="s">
        <v>9</v>
      </c>
      <c r="C119" s="25"/>
      <c r="D119" s="25"/>
      <c r="E119" s="25">
        <f>F117-L97</f>
        <v>463.47499999999854</v>
      </c>
      <c r="F119" s="26"/>
      <c r="H119" s="24" t="s">
        <v>9</v>
      </c>
      <c r="I119" s="25"/>
      <c r="J119" s="25"/>
      <c r="K119" s="25">
        <f>L117-F117</f>
        <v>264.875</v>
      </c>
      <c r="L119" s="26"/>
    </row>
    <row r="120" spans="2:15" x14ac:dyDescent="0.25">
      <c r="B120" s="27" t="s">
        <v>10</v>
      </c>
      <c r="C120" s="27"/>
      <c r="D120" s="27"/>
      <c r="E120" s="27">
        <f>D117-J97</f>
        <v>6.3249999999999318</v>
      </c>
      <c r="H120" s="27" t="s">
        <v>10</v>
      </c>
      <c r="I120" s="27"/>
      <c r="J120" s="27"/>
      <c r="K120" s="27">
        <f>J117-D117</f>
        <v>4.1750000000000682</v>
      </c>
    </row>
    <row r="121" spans="2:15" ht="15.75" thickBot="1" x14ac:dyDescent="0.3"/>
    <row r="122" spans="2:15" x14ac:dyDescent="0.25">
      <c r="B122" s="1"/>
      <c r="C122" s="2"/>
      <c r="D122" s="3">
        <v>44609</v>
      </c>
      <c r="E122" s="2"/>
      <c r="F122" s="4"/>
      <c r="H122" s="1"/>
      <c r="I122" s="2"/>
      <c r="J122" s="3">
        <v>44610</v>
      </c>
      <c r="K122" s="2"/>
      <c r="L122" s="4"/>
    </row>
    <row r="123" spans="2:15" x14ac:dyDescent="0.25">
      <c r="B123" s="5"/>
      <c r="D123" s="6"/>
      <c r="F123" s="7"/>
      <c r="H123" s="5"/>
      <c r="J123" s="6"/>
      <c r="L123" s="7"/>
      <c r="O123" t="s">
        <v>42</v>
      </c>
    </row>
    <row r="124" spans="2:15" x14ac:dyDescent="0.25">
      <c r="B124" s="5"/>
      <c r="C124" s="8" t="s">
        <v>0</v>
      </c>
      <c r="D124" s="9"/>
      <c r="E124" s="9"/>
      <c r="F124" s="10"/>
      <c r="H124" s="5"/>
      <c r="I124" s="8" t="s">
        <v>0</v>
      </c>
      <c r="J124" s="9"/>
      <c r="K124" s="9"/>
      <c r="L124" s="10"/>
      <c r="O124" t="s">
        <v>40</v>
      </c>
    </row>
    <row r="125" spans="2:15" x14ac:dyDescent="0.25">
      <c r="B125" s="5"/>
      <c r="C125" s="11" t="s">
        <v>1</v>
      </c>
      <c r="D125" s="12"/>
      <c r="E125" s="12"/>
      <c r="F125" s="13"/>
      <c r="H125" s="5"/>
      <c r="I125" s="11" t="s">
        <v>1</v>
      </c>
      <c r="J125" s="12"/>
      <c r="K125" s="12"/>
      <c r="L125" s="13"/>
      <c r="O125" t="s">
        <v>43</v>
      </c>
    </row>
    <row r="126" spans="2:15" x14ac:dyDescent="0.25">
      <c r="B126" s="5"/>
      <c r="C126" s="14"/>
      <c r="D126" t="s">
        <v>2</v>
      </c>
      <c r="F126" s="7" t="s">
        <v>3</v>
      </c>
      <c r="H126" s="5"/>
      <c r="I126" s="14"/>
      <c r="J126" t="s">
        <v>2</v>
      </c>
      <c r="L126" s="7" t="s">
        <v>3</v>
      </c>
      <c r="O126" t="s">
        <v>41</v>
      </c>
    </row>
    <row r="127" spans="2:15" x14ac:dyDescent="0.25">
      <c r="B127" s="5"/>
      <c r="C127" s="14" t="s">
        <v>4</v>
      </c>
      <c r="D127">
        <f>1493.443*25</f>
        <v>37336.074999999997</v>
      </c>
      <c r="F127" s="15">
        <f>0.01*25</f>
        <v>0.25</v>
      </c>
      <c r="H127" s="5"/>
      <c r="I127" s="14" t="s">
        <v>4</v>
      </c>
      <c r="J127">
        <f>1500.048*25</f>
        <v>37501.199999999997</v>
      </c>
      <c r="L127" s="15">
        <f>0.011*25</f>
        <v>0.27499999999999997</v>
      </c>
    </row>
    <row r="128" spans="2:15" x14ac:dyDescent="0.25">
      <c r="B128" s="5"/>
      <c r="C128" s="14" t="s">
        <v>5</v>
      </c>
      <c r="D128">
        <f>348.768*25</f>
        <v>8719.1999999999989</v>
      </c>
      <c r="F128" s="15">
        <f>0.035*25</f>
        <v>0.87500000000000011</v>
      </c>
      <c r="H128" s="5"/>
      <c r="I128" s="14" t="s">
        <v>5</v>
      </c>
      <c r="J128">
        <f>348.791*25</f>
        <v>8719.7749999999996</v>
      </c>
      <c r="L128" s="15">
        <f>0.054*25</f>
        <v>1.35</v>
      </c>
    </row>
    <row r="129" spans="2:15" ht="15.75" thickBot="1" x14ac:dyDescent="0.3">
      <c r="B129" s="5"/>
      <c r="C129" s="16" t="s">
        <v>6</v>
      </c>
      <c r="D129">
        <f>340.596*25</f>
        <v>8514.9</v>
      </c>
      <c r="E129" s="17"/>
      <c r="F129" s="18">
        <f>0.054*25</f>
        <v>1.35</v>
      </c>
      <c r="H129" s="5"/>
      <c r="I129" s="16" t="s">
        <v>6</v>
      </c>
      <c r="J129">
        <f>340.598*25</f>
        <v>8514.9500000000007</v>
      </c>
      <c r="K129" s="17"/>
      <c r="L129" s="18">
        <f>0.035*25</f>
        <v>0.87500000000000011</v>
      </c>
    </row>
    <row r="130" spans="2:15" ht="15.75" thickBot="1" x14ac:dyDescent="0.3">
      <c r="B130" s="5"/>
      <c r="D130" s="19">
        <v>54570.175000000003</v>
      </c>
      <c r="F130" s="19">
        <f>SUM(F127:F129)</f>
        <v>2.4750000000000001</v>
      </c>
      <c r="H130" s="5"/>
      <c r="J130" s="19">
        <v>54735.925000000003</v>
      </c>
      <c r="L130" s="19">
        <f>SUM(L127:L129)</f>
        <v>2.5</v>
      </c>
    </row>
    <row r="131" spans="2:15" x14ac:dyDescent="0.25">
      <c r="B131" s="5"/>
      <c r="C131" s="8" t="s">
        <v>7</v>
      </c>
      <c r="D131" s="12"/>
      <c r="E131" s="9"/>
      <c r="F131" s="10"/>
      <c r="H131" s="5"/>
      <c r="I131" s="8" t="s">
        <v>7</v>
      </c>
      <c r="J131" s="12"/>
      <c r="K131" s="9"/>
      <c r="L131" s="10"/>
    </row>
    <row r="132" spans="2:15" x14ac:dyDescent="0.25">
      <c r="B132" s="5"/>
      <c r="C132" s="11" t="s">
        <v>1</v>
      </c>
      <c r="D132" s="12"/>
      <c r="E132" s="12"/>
      <c r="F132" s="13"/>
      <c r="H132" s="5"/>
      <c r="I132" s="11" t="s">
        <v>1</v>
      </c>
      <c r="J132" s="12"/>
      <c r="K132" s="12"/>
      <c r="L132" s="13"/>
    </row>
    <row r="133" spans="2:15" x14ac:dyDescent="0.25">
      <c r="B133" s="5"/>
      <c r="C133" s="14"/>
      <c r="D133" t="s">
        <v>2</v>
      </c>
      <c r="F133" s="7" t="s">
        <v>3</v>
      </c>
      <c r="H133" s="5"/>
      <c r="I133" s="14"/>
      <c r="J133" t="s">
        <v>2</v>
      </c>
      <c r="L133" s="7" t="s">
        <v>3</v>
      </c>
    </row>
    <row r="134" spans="2:15" x14ac:dyDescent="0.25">
      <c r="B134" s="5"/>
      <c r="C134" s="14" t="s">
        <v>4</v>
      </c>
      <c r="D134">
        <f>2.962*25</f>
        <v>74.050000000000011</v>
      </c>
      <c r="F134" s="20">
        <f>317.28*25</f>
        <v>7931.9999999999991</v>
      </c>
      <c r="H134" s="5"/>
      <c r="I134" s="14" t="s">
        <v>4</v>
      </c>
      <c r="J134">
        <f>4.024*25</f>
        <v>100.6</v>
      </c>
      <c r="L134" s="20">
        <f>325.396*25</f>
        <v>8134.9000000000005</v>
      </c>
    </row>
    <row r="135" spans="2:15" x14ac:dyDescent="0.25">
      <c r="B135" s="5"/>
      <c r="C135" s="14" t="s">
        <v>5</v>
      </c>
      <c r="D135">
        <f>14.601*25</f>
        <v>365.02500000000003</v>
      </c>
      <c r="F135" s="21">
        <f>94.882*25</f>
        <v>2372.0500000000002</v>
      </c>
      <c r="H135" s="5"/>
      <c r="I135" s="14" t="s">
        <v>5</v>
      </c>
      <c r="J135">
        <f>14.601*25</f>
        <v>365.02500000000003</v>
      </c>
      <c r="L135" s="21">
        <f>99.662*25</f>
        <v>2491.5500000000002</v>
      </c>
    </row>
    <row r="136" spans="2:15" ht="15.75" thickBot="1" x14ac:dyDescent="0.3">
      <c r="B136" s="5"/>
      <c r="C136" s="16" t="s">
        <v>6</v>
      </c>
      <c r="D136">
        <f>16.287*25</f>
        <v>407.17499999999995</v>
      </c>
      <c r="E136" s="17"/>
      <c r="F136" s="21">
        <f>78.605*25</f>
        <v>1965.125</v>
      </c>
      <c r="H136" s="5"/>
      <c r="I136" s="16" t="s">
        <v>6</v>
      </c>
      <c r="J136">
        <f>16.287*25</f>
        <v>407.17499999999995</v>
      </c>
      <c r="K136" s="17"/>
      <c r="L136" s="21">
        <f>83.514*25</f>
        <v>2087.85</v>
      </c>
    </row>
    <row r="137" spans="2:15" ht="15.75" thickBot="1" x14ac:dyDescent="0.3">
      <c r="B137" s="5"/>
      <c r="D137" s="19">
        <f>SUM(D134:D136)</f>
        <v>846.25</v>
      </c>
      <c r="F137" s="19">
        <f>SUM(F134:F136)</f>
        <v>12269.174999999999</v>
      </c>
      <c r="H137" s="5"/>
      <c r="J137" s="19">
        <f>SUM(J134:J136)</f>
        <v>872.8</v>
      </c>
      <c r="L137" s="19">
        <f>SUM(L134:L136)</f>
        <v>12714.300000000001</v>
      </c>
    </row>
    <row r="138" spans="2:15" x14ac:dyDescent="0.25">
      <c r="B138" s="22" t="s">
        <v>8</v>
      </c>
      <c r="C138" s="23"/>
      <c r="D138" s="23"/>
      <c r="E138" s="23">
        <f>D130-J110</f>
        <v>126.625</v>
      </c>
      <c r="F138" s="7"/>
      <c r="H138" s="22" t="s">
        <v>8</v>
      </c>
      <c r="I138" s="23"/>
      <c r="J138" s="23"/>
      <c r="K138" s="23">
        <f>J130-D130</f>
        <v>165.75</v>
      </c>
      <c r="L138" s="7"/>
    </row>
    <row r="139" spans="2:15" ht="15.75" thickBot="1" x14ac:dyDescent="0.3">
      <c r="B139" s="24" t="s">
        <v>9</v>
      </c>
      <c r="C139" s="25"/>
      <c r="D139" s="25"/>
      <c r="E139" s="25">
        <f>F137-L117</f>
        <v>248.07499999999891</v>
      </c>
      <c r="F139" s="26"/>
      <c r="H139" s="24" t="s">
        <v>9</v>
      </c>
      <c r="I139" s="25"/>
      <c r="J139" s="25"/>
      <c r="K139" s="25">
        <f>L137-F137</f>
        <v>445.12500000000182</v>
      </c>
      <c r="L139" s="26"/>
    </row>
    <row r="140" spans="2:15" x14ac:dyDescent="0.25">
      <c r="B140" s="27" t="s">
        <v>10</v>
      </c>
      <c r="C140" s="27"/>
      <c r="D140" s="27"/>
      <c r="E140" s="27">
        <f>D137-J117</f>
        <v>15.674999999999955</v>
      </c>
      <c r="H140" s="27" t="s">
        <v>10</v>
      </c>
      <c r="I140" s="27"/>
      <c r="J140" s="27"/>
      <c r="K140" s="27">
        <f>J137-D137</f>
        <v>26.549999999999955</v>
      </c>
    </row>
    <row r="141" spans="2:15" ht="15.75" thickBot="1" x14ac:dyDescent="0.3"/>
    <row r="142" spans="2:15" x14ac:dyDescent="0.25">
      <c r="B142" s="1"/>
      <c r="C142" s="2"/>
      <c r="D142" s="3">
        <v>44613</v>
      </c>
      <c r="E142" s="2"/>
      <c r="F142" s="4"/>
      <c r="H142" s="1"/>
      <c r="I142" s="2"/>
      <c r="J142" s="3">
        <v>44614</v>
      </c>
      <c r="K142" s="2"/>
      <c r="L142" s="4"/>
    </row>
    <row r="143" spans="2:15" x14ac:dyDescent="0.25">
      <c r="B143" s="5"/>
      <c r="D143" s="6"/>
      <c r="F143" s="7"/>
      <c r="H143" s="5"/>
      <c r="J143" s="6"/>
      <c r="L143" s="7"/>
      <c r="O143" t="s">
        <v>46</v>
      </c>
    </row>
    <row r="144" spans="2:15" x14ac:dyDescent="0.25">
      <c r="B144" s="5"/>
      <c r="C144" s="8" t="s">
        <v>0</v>
      </c>
      <c r="D144" s="9"/>
      <c r="E144" s="9"/>
      <c r="F144" s="10"/>
      <c r="H144" s="5"/>
      <c r="I144" s="8" t="s">
        <v>0</v>
      </c>
      <c r="J144" s="9"/>
      <c r="K144" s="9"/>
      <c r="L144" s="10"/>
      <c r="O144" t="s">
        <v>44</v>
      </c>
    </row>
    <row r="145" spans="2:15" x14ac:dyDescent="0.25">
      <c r="B145" s="5"/>
      <c r="C145" s="11" t="s">
        <v>1</v>
      </c>
      <c r="D145" s="12"/>
      <c r="E145" s="12"/>
      <c r="F145" s="13"/>
      <c r="H145" s="5"/>
      <c r="I145" s="11" t="s">
        <v>1</v>
      </c>
      <c r="J145" s="12"/>
      <c r="K145" s="12"/>
      <c r="L145" s="13"/>
      <c r="O145" t="s">
        <v>47</v>
      </c>
    </row>
    <row r="146" spans="2:15" x14ac:dyDescent="0.25">
      <c r="B146" s="5"/>
      <c r="C146" s="14"/>
      <c r="D146" t="s">
        <v>2</v>
      </c>
      <c r="F146" s="7" t="s">
        <v>3</v>
      </c>
      <c r="H146" s="5"/>
      <c r="I146" s="14"/>
      <c r="J146" t="s">
        <v>2</v>
      </c>
      <c r="L146" s="7" t="s">
        <v>3</v>
      </c>
      <c r="O146" t="s">
        <v>45</v>
      </c>
    </row>
    <row r="147" spans="2:15" x14ac:dyDescent="0.25">
      <c r="B147" s="5"/>
      <c r="C147" s="14" t="s">
        <v>4</v>
      </c>
      <c r="D147">
        <f>1503.471*25</f>
        <v>37586.775000000001</v>
      </c>
      <c r="F147" s="15">
        <f>0.011*25</f>
        <v>0.27499999999999997</v>
      </c>
      <c r="H147" s="5"/>
      <c r="I147" s="14" t="s">
        <v>4</v>
      </c>
      <c r="J147">
        <f>1505.296*25</f>
        <v>37632.400000000001</v>
      </c>
      <c r="L147" s="15">
        <f>0.011*25</f>
        <v>0.27499999999999997</v>
      </c>
    </row>
    <row r="148" spans="2:15" x14ac:dyDescent="0.25">
      <c r="B148" s="5"/>
      <c r="C148" s="14" t="s">
        <v>5</v>
      </c>
      <c r="D148">
        <f>354.306*25</f>
        <v>8857.65</v>
      </c>
      <c r="F148" s="15">
        <f>0.036*25</f>
        <v>0.89999999999999991</v>
      </c>
      <c r="H148" s="5"/>
      <c r="I148" s="14" t="s">
        <v>5</v>
      </c>
      <c r="J148">
        <f>354.341*25</f>
        <v>8858.5249999999996</v>
      </c>
      <c r="L148" s="15">
        <f>0.036*25</f>
        <v>0.89999999999999991</v>
      </c>
    </row>
    <row r="149" spans="2:15" ht="15.75" thickBot="1" x14ac:dyDescent="0.3">
      <c r="B149" s="5"/>
      <c r="C149" s="16" t="s">
        <v>6</v>
      </c>
      <c r="D149">
        <f>344.911*25</f>
        <v>8622.7749999999996</v>
      </c>
      <c r="E149" s="17"/>
      <c r="F149" s="18">
        <f>0.055*25</f>
        <v>1.375</v>
      </c>
      <c r="H149" s="5"/>
      <c r="I149" s="16" t="s">
        <v>6</v>
      </c>
      <c r="J149">
        <f>344.913*25</f>
        <v>8622.8250000000007</v>
      </c>
      <c r="K149" s="17"/>
      <c r="L149" s="18">
        <f>0.055*25</f>
        <v>1.375</v>
      </c>
    </row>
    <row r="150" spans="2:15" ht="15.75" thickBot="1" x14ac:dyDescent="0.3">
      <c r="B150" s="5"/>
      <c r="D150" s="19">
        <v>55067.199999999997</v>
      </c>
      <c r="F150" s="19">
        <f>SUM(F147:F149)</f>
        <v>2.5499999999999998</v>
      </c>
      <c r="H150" s="5"/>
      <c r="J150" s="19">
        <v>55113.75</v>
      </c>
      <c r="L150" s="19">
        <f>SUM(L147:L149)</f>
        <v>2.5499999999999998</v>
      </c>
    </row>
    <row r="151" spans="2:15" x14ac:dyDescent="0.25">
      <c r="B151" s="5"/>
      <c r="C151" s="8" t="s">
        <v>7</v>
      </c>
      <c r="D151" s="12"/>
      <c r="E151" s="9"/>
      <c r="F151" s="10"/>
      <c r="H151" s="5"/>
      <c r="I151" s="8" t="s">
        <v>7</v>
      </c>
      <c r="J151" s="12"/>
      <c r="K151" s="9"/>
      <c r="L151" s="10"/>
    </row>
    <row r="152" spans="2:15" x14ac:dyDescent="0.25">
      <c r="B152" s="5"/>
      <c r="C152" s="11" t="s">
        <v>1</v>
      </c>
      <c r="D152" s="12"/>
      <c r="E152" s="12"/>
      <c r="F152" s="13"/>
      <c r="H152" s="5"/>
      <c r="I152" s="11" t="s">
        <v>1</v>
      </c>
      <c r="J152" s="12"/>
      <c r="K152" s="12"/>
      <c r="L152" s="13"/>
    </row>
    <row r="153" spans="2:15" x14ac:dyDescent="0.25">
      <c r="B153" s="5"/>
      <c r="C153" s="14"/>
      <c r="D153" t="s">
        <v>2</v>
      </c>
      <c r="F153" s="7" t="s">
        <v>3</v>
      </c>
      <c r="H153" s="5"/>
      <c r="I153" s="14"/>
      <c r="J153" t="s">
        <v>2</v>
      </c>
      <c r="L153" s="7" t="s">
        <v>3</v>
      </c>
    </row>
    <row r="154" spans="2:15" x14ac:dyDescent="0.25">
      <c r="B154" s="5"/>
      <c r="C154" s="14" t="s">
        <v>4</v>
      </c>
      <c r="D154">
        <f>4.541*25</f>
        <v>113.52500000000001</v>
      </c>
      <c r="F154" s="20">
        <f>329.07*25</f>
        <v>8226.75</v>
      </c>
      <c r="H154" s="5"/>
      <c r="I154" s="14" t="s">
        <v>4</v>
      </c>
      <c r="J154">
        <f>4.582*25</f>
        <v>114.55</v>
      </c>
      <c r="L154" s="20">
        <f>342.648*25</f>
        <v>8566.2000000000007</v>
      </c>
    </row>
    <row r="155" spans="2:15" x14ac:dyDescent="0.25">
      <c r="B155" s="5"/>
      <c r="C155" s="14" t="s">
        <v>5</v>
      </c>
      <c r="D155">
        <f>19.424*25</f>
        <v>485.59999999999997</v>
      </c>
      <c r="F155" s="21">
        <f>103.106*25</f>
        <v>2577.6499999999996</v>
      </c>
      <c r="H155" s="5"/>
      <c r="I155" s="14" t="s">
        <v>5</v>
      </c>
      <c r="J155">
        <f>19.424*25</f>
        <v>485.59999999999997</v>
      </c>
      <c r="L155" s="21">
        <f>108.317*25</f>
        <v>2707.9249999999997</v>
      </c>
    </row>
    <row r="156" spans="2:15" ht="15.75" thickBot="1" x14ac:dyDescent="0.3">
      <c r="B156" s="5"/>
      <c r="C156" s="16" t="s">
        <v>6</v>
      </c>
      <c r="D156">
        <f>20.027*25</f>
        <v>500.67500000000001</v>
      </c>
      <c r="E156" s="17"/>
      <c r="F156" s="21">
        <f>87.693*25</f>
        <v>2192.3249999999998</v>
      </c>
      <c r="H156" s="5"/>
      <c r="I156" s="16" t="s">
        <v>6</v>
      </c>
      <c r="J156">
        <f>20.027*25</f>
        <v>500.67500000000001</v>
      </c>
      <c r="K156" s="17"/>
      <c r="L156" s="21">
        <f>92.135*25</f>
        <v>2303.375</v>
      </c>
    </row>
    <row r="157" spans="2:15" ht="15.75" thickBot="1" x14ac:dyDescent="0.3">
      <c r="B157" s="5"/>
      <c r="D157" s="19">
        <f>SUM(D154:D156)</f>
        <v>1099.8</v>
      </c>
      <c r="F157" s="19">
        <f>SUM(F154:F156)</f>
        <v>12996.724999999999</v>
      </c>
      <c r="H157" s="5"/>
      <c r="J157" s="19">
        <f>SUM(J154:J156)</f>
        <v>1100.825</v>
      </c>
      <c r="L157" s="19">
        <f>SUM(L154:L156)</f>
        <v>13577.5</v>
      </c>
    </row>
    <row r="158" spans="2:15" x14ac:dyDescent="0.25">
      <c r="B158" s="22" t="s">
        <v>8</v>
      </c>
      <c r="C158" s="23"/>
      <c r="D158" s="23"/>
      <c r="E158" s="23">
        <f>D150-J130</f>
        <v>331.27499999999418</v>
      </c>
      <c r="F158" s="7"/>
      <c r="H158" s="22" t="s">
        <v>8</v>
      </c>
      <c r="I158" s="23"/>
      <c r="J158" s="23"/>
      <c r="K158" s="23">
        <f>J150-D150</f>
        <v>46.55000000000291</v>
      </c>
      <c r="L158" s="7"/>
    </row>
    <row r="159" spans="2:15" ht="15.75" thickBot="1" x14ac:dyDescent="0.3">
      <c r="B159" s="24" t="s">
        <v>9</v>
      </c>
      <c r="C159" s="25"/>
      <c r="D159" s="25"/>
      <c r="E159" s="25">
        <f>F157-L137</f>
        <v>282.42499999999745</v>
      </c>
      <c r="F159" s="26"/>
      <c r="H159" s="24" t="s">
        <v>9</v>
      </c>
      <c r="I159" s="25"/>
      <c r="J159" s="25"/>
      <c r="K159" s="25">
        <f>L157-F157</f>
        <v>580.77500000000146</v>
      </c>
      <c r="L159" s="26"/>
    </row>
    <row r="160" spans="2:15" x14ac:dyDescent="0.25">
      <c r="B160" s="27" t="s">
        <v>10</v>
      </c>
      <c r="C160" s="27"/>
      <c r="D160" s="27"/>
      <c r="E160" s="27">
        <f>D157-J137</f>
        <v>227</v>
      </c>
      <c r="H160" s="27" t="s">
        <v>10</v>
      </c>
      <c r="I160" s="27"/>
      <c r="J160" s="27"/>
      <c r="K160" s="27">
        <f>J157-D157</f>
        <v>1.0250000000000909</v>
      </c>
    </row>
    <row r="161" spans="2:15" ht="15.75" thickBot="1" x14ac:dyDescent="0.3"/>
    <row r="162" spans="2:15" x14ac:dyDescent="0.25">
      <c r="B162" s="1"/>
      <c r="C162" s="2"/>
      <c r="D162" s="3">
        <v>44615</v>
      </c>
      <c r="E162" s="2"/>
      <c r="F162" s="4"/>
      <c r="H162" s="1"/>
      <c r="I162" s="2"/>
      <c r="J162" s="3">
        <v>44616</v>
      </c>
      <c r="K162" s="2"/>
      <c r="L162" s="4"/>
    </row>
    <row r="163" spans="2:15" x14ac:dyDescent="0.25">
      <c r="B163" s="5"/>
      <c r="D163" s="6"/>
      <c r="F163" s="7"/>
      <c r="H163" s="5"/>
      <c r="J163" s="6"/>
      <c r="L163" s="7"/>
      <c r="O163" t="s">
        <v>51</v>
      </c>
    </row>
    <row r="164" spans="2:15" x14ac:dyDescent="0.25">
      <c r="B164" s="5"/>
      <c r="C164" s="8" t="s">
        <v>0</v>
      </c>
      <c r="D164" s="9"/>
      <c r="E164" s="9"/>
      <c r="F164" s="10"/>
      <c r="H164" s="5"/>
      <c r="I164" s="8" t="s">
        <v>0</v>
      </c>
      <c r="J164" s="9"/>
      <c r="K164" s="9"/>
      <c r="L164" s="10"/>
      <c r="O164" t="s">
        <v>49</v>
      </c>
    </row>
    <row r="165" spans="2:15" x14ac:dyDescent="0.25">
      <c r="B165" s="5"/>
      <c r="C165" s="11" t="s">
        <v>1</v>
      </c>
      <c r="D165" s="12"/>
      <c r="E165" s="12"/>
      <c r="F165" s="13"/>
      <c r="H165" s="5"/>
      <c r="I165" s="11" t="s">
        <v>1</v>
      </c>
      <c r="J165" s="12"/>
      <c r="K165" s="12"/>
      <c r="L165" s="13"/>
      <c r="O165" t="s">
        <v>52</v>
      </c>
    </row>
    <row r="166" spans="2:15" x14ac:dyDescent="0.25">
      <c r="B166" s="5"/>
      <c r="C166" s="14"/>
      <c r="D166" t="s">
        <v>2</v>
      </c>
      <c r="F166" s="7" t="s">
        <v>3</v>
      </c>
      <c r="H166" s="5"/>
      <c r="I166" s="14"/>
      <c r="J166" t="s">
        <v>2</v>
      </c>
      <c r="L166" s="7" t="s">
        <v>3</v>
      </c>
      <c r="O166" t="s">
        <v>50</v>
      </c>
    </row>
    <row r="167" spans="2:15" x14ac:dyDescent="0.25">
      <c r="B167" s="5"/>
      <c r="C167" s="14" t="s">
        <v>4</v>
      </c>
      <c r="D167">
        <f>1513.598*25</f>
        <v>37839.949999999997</v>
      </c>
      <c r="F167" s="15">
        <f>0.011*25</f>
        <v>0.27499999999999997</v>
      </c>
      <c r="H167" s="5"/>
      <c r="I167" s="14" t="s">
        <v>4</v>
      </c>
      <c r="J167">
        <f>1520.764*25</f>
        <v>38019.1</v>
      </c>
      <c r="L167" s="15">
        <f>0.011*25</f>
        <v>0.27499999999999997</v>
      </c>
    </row>
    <row r="168" spans="2:15" x14ac:dyDescent="0.25">
      <c r="B168" s="5"/>
      <c r="C168" s="14" t="s">
        <v>5</v>
      </c>
      <c r="D168">
        <f>354.384*25</f>
        <v>8859.6</v>
      </c>
      <c r="F168" s="15">
        <f>0.036*25</f>
        <v>0.89999999999999991</v>
      </c>
      <c r="H168" s="5"/>
      <c r="I168" s="14" t="s">
        <v>5</v>
      </c>
      <c r="J168">
        <f>354.453*25</f>
        <v>8861.3249999999989</v>
      </c>
      <c r="L168" s="15">
        <f>0.036*25</f>
        <v>0.89999999999999991</v>
      </c>
    </row>
    <row r="169" spans="2:15" ht="15.75" thickBot="1" x14ac:dyDescent="0.3">
      <c r="B169" s="5"/>
      <c r="C169" s="16" t="s">
        <v>6</v>
      </c>
      <c r="D169">
        <f>344.916*25</f>
        <v>8622.9</v>
      </c>
      <c r="E169" s="17"/>
      <c r="F169" s="18">
        <f>0.055*25</f>
        <v>1.375</v>
      </c>
      <c r="H169" s="5"/>
      <c r="I169" s="16" t="s">
        <v>6</v>
      </c>
      <c r="J169">
        <f>344.919*25</f>
        <v>8622.9750000000004</v>
      </c>
      <c r="K169" s="17"/>
      <c r="L169" s="18">
        <f>0.055*25</f>
        <v>1.375</v>
      </c>
    </row>
    <row r="170" spans="2:15" ht="15.75" thickBot="1" x14ac:dyDescent="0.3">
      <c r="B170" s="5"/>
      <c r="D170" s="19">
        <v>55322.45</v>
      </c>
      <c r="F170" s="19">
        <f>SUM(F167:F169)</f>
        <v>2.5499999999999998</v>
      </c>
      <c r="H170" s="5"/>
      <c r="J170" s="19">
        <v>55503.4</v>
      </c>
      <c r="L170" s="19">
        <f>SUM(L167:L169)</f>
        <v>2.5499999999999998</v>
      </c>
    </row>
    <row r="171" spans="2:15" x14ac:dyDescent="0.25">
      <c r="B171" s="5"/>
      <c r="C171" s="8" t="s">
        <v>7</v>
      </c>
      <c r="D171" s="12"/>
      <c r="E171" s="9"/>
      <c r="F171" s="10"/>
      <c r="H171" s="5"/>
      <c r="I171" s="8" t="s">
        <v>7</v>
      </c>
      <c r="J171" s="12"/>
      <c r="K171" s="9"/>
      <c r="L171" s="10"/>
    </row>
    <row r="172" spans="2:15" x14ac:dyDescent="0.25">
      <c r="B172" s="5"/>
      <c r="C172" s="11" t="s">
        <v>1</v>
      </c>
      <c r="D172" s="12"/>
      <c r="E172" s="12"/>
      <c r="F172" s="13"/>
      <c r="H172" s="5"/>
      <c r="I172" s="11" t="s">
        <v>1</v>
      </c>
      <c r="J172" s="12"/>
      <c r="K172" s="12"/>
      <c r="L172" s="13"/>
    </row>
    <row r="173" spans="2:15" x14ac:dyDescent="0.25">
      <c r="B173" s="5"/>
      <c r="C173" s="14"/>
      <c r="D173" t="s">
        <v>2</v>
      </c>
      <c r="F173" s="7" t="s">
        <v>3</v>
      </c>
      <c r="H173" s="5"/>
      <c r="I173" s="14"/>
      <c r="J173" t="s">
        <v>2</v>
      </c>
      <c r="L173" s="7" t="s">
        <v>3</v>
      </c>
    </row>
    <row r="174" spans="2:15" x14ac:dyDescent="0.25">
      <c r="B174" s="5"/>
      <c r="C174" s="14" t="s">
        <v>4</v>
      </c>
      <c r="D174">
        <f>5.97*25</f>
        <v>149.25</v>
      </c>
      <c r="F174" s="20">
        <f>347.59*25</f>
        <v>8689.75</v>
      </c>
      <c r="H174" s="5"/>
      <c r="I174" s="14" t="s">
        <v>4</v>
      </c>
      <c r="J174">
        <f>7.058*25</f>
        <v>176.45</v>
      </c>
      <c r="L174" s="20">
        <f>351.616*25</f>
        <v>8790.4</v>
      </c>
    </row>
    <row r="175" spans="2:15" x14ac:dyDescent="0.25">
      <c r="B175" s="5"/>
      <c r="C175" s="14" t="s">
        <v>5</v>
      </c>
      <c r="D175">
        <f>19.424*25</f>
        <v>485.59999999999997</v>
      </c>
      <c r="F175" s="21">
        <f>110.666*25</f>
        <v>2766.65</v>
      </c>
      <c r="H175" s="5"/>
      <c r="I175" s="14" t="s">
        <v>5</v>
      </c>
      <c r="J175">
        <f>19.424*25</f>
        <v>485.59999999999997</v>
      </c>
      <c r="L175" s="21">
        <f>112.909*25</f>
        <v>2822.7250000000004</v>
      </c>
    </row>
    <row r="176" spans="2:15" ht="15.75" thickBot="1" x14ac:dyDescent="0.3">
      <c r="B176" s="5"/>
      <c r="C176" s="16" t="s">
        <v>6</v>
      </c>
      <c r="D176">
        <f>20.027*25</f>
        <v>500.67500000000001</v>
      </c>
      <c r="E176" s="17"/>
      <c r="F176" s="21">
        <f>94.11*25</f>
        <v>2352.75</v>
      </c>
      <c r="H176" s="5"/>
      <c r="I176" s="16" t="s">
        <v>6</v>
      </c>
      <c r="J176">
        <f>20.027*25</f>
        <v>500.67500000000001</v>
      </c>
      <c r="K176" s="17"/>
      <c r="L176" s="21">
        <f>95.468*25</f>
        <v>2386.7000000000003</v>
      </c>
    </row>
    <row r="177" spans="2:15" ht="15.75" thickBot="1" x14ac:dyDescent="0.3">
      <c r="B177" s="5"/>
      <c r="D177" s="19">
        <f>SUM(D174:D176)</f>
        <v>1135.5249999999999</v>
      </c>
      <c r="F177" s="19">
        <f>SUM(F174:F176)</f>
        <v>13809.15</v>
      </c>
      <c r="H177" s="5"/>
      <c r="J177" s="19">
        <f>SUM(J174:J176)</f>
        <v>1162.7249999999999</v>
      </c>
      <c r="L177" s="19">
        <f>SUM(L174:L176)</f>
        <v>13999.825000000001</v>
      </c>
    </row>
    <row r="178" spans="2:15" x14ac:dyDescent="0.25">
      <c r="B178" s="22" t="s">
        <v>8</v>
      </c>
      <c r="C178" s="23"/>
      <c r="D178" s="23"/>
      <c r="E178" s="23">
        <f>D170-J150</f>
        <v>208.69999999999709</v>
      </c>
      <c r="F178" s="7"/>
      <c r="H178" s="22" t="s">
        <v>8</v>
      </c>
      <c r="I178" s="23"/>
      <c r="J178" s="23"/>
      <c r="K178" s="23">
        <f>J170-D170</f>
        <v>180.95000000000437</v>
      </c>
      <c r="L178" s="7"/>
    </row>
    <row r="179" spans="2:15" ht="15.75" thickBot="1" x14ac:dyDescent="0.3">
      <c r="B179" s="24" t="s">
        <v>9</v>
      </c>
      <c r="C179" s="25"/>
      <c r="D179" s="25"/>
      <c r="E179" s="25">
        <f>F177-L157</f>
        <v>231.64999999999964</v>
      </c>
      <c r="F179" s="26"/>
      <c r="H179" s="24" t="s">
        <v>9</v>
      </c>
      <c r="I179" s="25"/>
      <c r="J179" s="25"/>
      <c r="K179" s="25">
        <f>L177-F177</f>
        <v>190.67500000000109</v>
      </c>
      <c r="L179" s="26"/>
    </row>
    <row r="180" spans="2:15" x14ac:dyDescent="0.25">
      <c r="B180" s="27" t="s">
        <v>10</v>
      </c>
      <c r="C180" s="27"/>
      <c r="D180" s="27"/>
      <c r="E180" s="27">
        <f>D177-J157</f>
        <v>34.699999999999818</v>
      </c>
      <c r="H180" s="27" t="s">
        <v>10</v>
      </c>
      <c r="I180" s="27"/>
      <c r="J180" s="27"/>
      <c r="K180" s="27">
        <f>J177-D177</f>
        <v>27.200000000000045</v>
      </c>
    </row>
    <row r="181" spans="2:15" ht="15.75" thickBot="1" x14ac:dyDescent="0.3"/>
    <row r="182" spans="2:15" x14ac:dyDescent="0.25">
      <c r="B182" s="1"/>
      <c r="C182" s="2"/>
      <c r="D182" s="3">
        <v>44617</v>
      </c>
      <c r="E182" s="2" t="s">
        <v>56</v>
      </c>
      <c r="F182" s="4"/>
      <c r="H182" s="1"/>
      <c r="I182" s="2"/>
      <c r="J182" s="3">
        <v>44620</v>
      </c>
      <c r="K182" s="2"/>
      <c r="L182" s="4"/>
    </row>
    <row r="183" spans="2:15" x14ac:dyDescent="0.25">
      <c r="B183" s="5"/>
      <c r="D183" s="6"/>
      <c r="F183" s="7"/>
      <c r="H183" s="5"/>
      <c r="J183" s="6"/>
      <c r="L183" s="7"/>
      <c r="O183" t="s">
        <v>55</v>
      </c>
    </row>
    <row r="184" spans="2:15" x14ac:dyDescent="0.25">
      <c r="B184" s="5"/>
      <c r="C184" s="8" t="s">
        <v>0</v>
      </c>
      <c r="D184" s="9"/>
      <c r="E184" s="9"/>
      <c r="F184" s="10"/>
      <c r="H184" s="5"/>
      <c r="I184" s="8" t="s">
        <v>0</v>
      </c>
      <c r="J184" s="9"/>
      <c r="K184" s="9"/>
      <c r="L184" s="10"/>
      <c r="O184" t="s">
        <v>53</v>
      </c>
    </row>
    <row r="185" spans="2:15" x14ac:dyDescent="0.25">
      <c r="B185" s="5"/>
      <c r="C185" s="11" t="s">
        <v>1</v>
      </c>
      <c r="D185" s="12"/>
      <c r="E185" s="12"/>
      <c r="F185" s="13"/>
      <c r="H185" s="5"/>
      <c r="I185" s="11" t="s">
        <v>1</v>
      </c>
      <c r="J185" s="12"/>
      <c r="K185" s="12"/>
      <c r="L185" s="13"/>
      <c r="O185" t="s">
        <v>57</v>
      </c>
    </row>
    <row r="186" spans="2:15" x14ac:dyDescent="0.25">
      <c r="B186" s="5"/>
      <c r="C186" s="14"/>
      <c r="D186" t="s">
        <v>2</v>
      </c>
      <c r="F186" s="7" t="s">
        <v>3</v>
      </c>
      <c r="H186" s="5"/>
      <c r="I186" s="14"/>
      <c r="J186" t="s">
        <v>2</v>
      </c>
      <c r="L186" s="7" t="s">
        <v>3</v>
      </c>
      <c r="O186" t="s">
        <v>54</v>
      </c>
    </row>
    <row r="187" spans="2:15" x14ac:dyDescent="0.25">
      <c r="B187" s="5"/>
      <c r="C187" s="14" t="s">
        <v>4</v>
      </c>
      <c r="D187">
        <f>1530.211*25</f>
        <v>38255.275000000001</v>
      </c>
      <c r="F187" s="15">
        <f>0.011*25</f>
        <v>0.27499999999999997</v>
      </c>
      <c r="H187" s="5"/>
      <c r="I187" s="14" t="s">
        <v>4</v>
      </c>
      <c r="J187">
        <f>1534.401*25</f>
        <v>38360.025000000001</v>
      </c>
      <c r="L187" s="15">
        <f>0.011*25</f>
        <v>0.27499999999999997</v>
      </c>
    </row>
    <row r="188" spans="2:15" x14ac:dyDescent="0.25">
      <c r="B188" s="5"/>
      <c r="C188" s="14" t="s">
        <v>5</v>
      </c>
      <c r="D188">
        <f>354.524*25</f>
        <v>8863.1</v>
      </c>
      <c r="F188" s="15">
        <f>0.036*25</f>
        <v>0.89999999999999991</v>
      </c>
      <c r="H188" s="5"/>
      <c r="I188" s="14" t="s">
        <v>5</v>
      </c>
      <c r="J188">
        <f>355.692*25</f>
        <v>8892.2999999999993</v>
      </c>
      <c r="L188" s="15">
        <f>0.036*25</f>
        <v>0.89999999999999991</v>
      </c>
    </row>
    <row r="189" spans="2:15" ht="15.75" thickBot="1" x14ac:dyDescent="0.3">
      <c r="B189" s="5"/>
      <c r="C189" s="16" t="s">
        <v>6</v>
      </c>
      <c r="D189">
        <f>344.922*25</f>
        <v>8623.0500000000011</v>
      </c>
      <c r="E189" s="17"/>
      <c r="F189" s="18">
        <f>0.055*25</f>
        <v>1.375</v>
      </c>
      <c r="H189" s="5"/>
      <c r="I189" s="16" t="s">
        <v>6</v>
      </c>
      <c r="J189">
        <f>349.371*25</f>
        <v>8734.2749999999996</v>
      </c>
      <c r="K189" s="17"/>
      <c r="L189" s="18">
        <f>0.056*25</f>
        <v>1.4000000000000001</v>
      </c>
    </row>
    <row r="190" spans="2:15" ht="15.75" thickBot="1" x14ac:dyDescent="0.3">
      <c r="B190" s="5"/>
      <c r="D190" s="19">
        <v>55741.425000000003</v>
      </c>
      <c r="F190" s="19">
        <f>SUM(F187:F189)</f>
        <v>2.5499999999999998</v>
      </c>
      <c r="H190" s="5"/>
      <c r="J190" s="19">
        <v>55986.6</v>
      </c>
      <c r="L190" s="19">
        <f>SUM(L187:L189)</f>
        <v>2.5750000000000002</v>
      </c>
    </row>
    <row r="191" spans="2:15" x14ac:dyDescent="0.25">
      <c r="B191" s="5"/>
      <c r="C191" s="8" t="s">
        <v>7</v>
      </c>
      <c r="D191" s="12"/>
      <c r="E191" s="9"/>
      <c r="F191" s="10"/>
      <c r="H191" s="5"/>
      <c r="I191" s="8" t="s">
        <v>7</v>
      </c>
      <c r="J191" s="12"/>
      <c r="K191" s="9"/>
      <c r="L191" s="10"/>
    </row>
    <row r="192" spans="2:15" x14ac:dyDescent="0.25">
      <c r="B192" s="5"/>
      <c r="C192" s="11" t="s">
        <v>1</v>
      </c>
      <c r="D192" s="12"/>
      <c r="E192" s="12"/>
      <c r="F192" s="13"/>
      <c r="H192" s="5"/>
      <c r="I192" s="11" t="s">
        <v>1</v>
      </c>
      <c r="J192" s="12"/>
      <c r="K192" s="12"/>
      <c r="L192" s="13"/>
    </row>
    <row r="193" spans="2:12" x14ac:dyDescent="0.25">
      <c r="B193" s="5"/>
      <c r="C193" s="14"/>
      <c r="D193" t="s">
        <v>2</v>
      </c>
      <c r="F193" s="7" t="s">
        <v>3</v>
      </c>
      <c r="H193" s="5"/>
      <c r="I193" s="14"/>
      <c r="J193" t="s">
        <v>2</v>
      </c>
      <c r="L193" s="7" t="s">
        <v>3</v>
      </c>
    </row>
    <row r="194" spans="2:12" x14ac:dyDescent="0.25">
      <c r="B194" s="5"/>
      <c r="C194" s="14" t="s">
        <v>4</v>
      </c>
      <c r="D194">
        <f>8.889*25</f>
        <v>222.22499999999999</v>
      </c>
      <c r="F194" s="20">
        <f>358.632*25</f>
        <v>8965.7999999999993</v>
      </c>
      <c r="H194" s="5"/>
      <c r="I194" s="14" t="s">
        <v>4</v>
      </c>
      <c r="J194">
        <f>9.946*25</f>
        <v>248.65</v>
      </c>
      <c r="L194" s="20">
        <f>362.53*25</f>
        <v>9063.25</v>
      </c>
    </row>
    <row r="195" spans="2:12" x14ac:dyDescent="0.25">
      <c r="B195" s="5"/>
      <c r="C195" s="14" t="s">
        <v>5</v>
      </c>
      <c r="D195">
        <f>19.424*25</f>
        <v>485.59999999999997</v>
      </c>
      <c r="F195" s="21">
        <f>114.569*25</f>
        <v>2864.2249999999999</v>
      </c>
      <c r="H195" s="5"/>
      <c r="I195" s="14" t="s">
        <v>5</v>
      </c>
      <c r="J195">
        <f>19.967*25</f>
        <v>499.17499999999995</v>
      </c>
      <c r="L195" s="21">
        <f>117.098*25</f>
        <v>2927.45</v>
      </c>
    </row>
    <row r="196" spans="2:12" ht="15.75" thickBot="1" x14ac:dyDescent="0.3">
      <c r="B196" s="5"/>
      <c r="C196" s="16" t="s">
        <v>6</v>
      </c>
      <c r="D196">
        <f>20.027*25</f>
        <v>500.67500000000001</v>
      </c>
      <c r="E196" s="17"/>
      <c r="F196" s="21">
        <f>96.764*25</f>
        <v>2419.1</v>
      </c>
      <c r="H196" s="5"/>
      <c r="I196" s="16" t="s">
        <v>6</v>
      </c>
      <c r="J196">
        <f>23.865*25</f>
        <v>596.625</v>
      </c>
      <c r="K196" s="17"/>
      <c r="L196" s="21">
        <f>100.592*25</f>
        <v>2514.8000000000002</v>
      </c>
    </row>
    <row r="197" spans="2:12" ht="15.75" thickBot="1" x14ac:dyDescent="0.3">
      <c r="B197" s="5"/>
      <c r="D197" s="19">
        <f>SUM(D194:D196)</f>
        <v>1208.5</v>
      </c>
      <c r="F197" s="19">
        <f>SUM(F194:F196)</f>
        <v>14249.125</v>
      </c>
      <c r="H197" s="5"/>
      <c r="J197" s="19">
        <f>SUM(J194:J196)</f>
        <v>1344.4499999999998</v>
      </c>
      <c r="L197" s="19">
        <f>SUM(L194:L196)</f>
        <v>14505.5</v>
      </c>
    </row>
    <row r="198" spans="2:12" x14ac:dyDescent="0.25">
      <c r="B198" s="22" t="s">
        <v>8</v>
      </c>
      <c r="C198" s="23"/>
      <c r="D198" s="23"/>
      <c r="E198" s="23">
        <f>D190-J170</f>
        <v>238.02500000000146</v>
      </c>
      <c r="F198" s="7"/>
      <c r="H198" s="22" t="s">
        <v>8</v>
      </c>
      <c r="I198" s="23"/>
      <c r="J198" s="23"/>
      <c r="K198" s="23">
        <f>J190-D190</f>
        <v>245.17499999999563</v>
      </c>
      <c r="L198" s="7"/>
    </row>
    <row r="199" spans="2:12" ht="15.75" thickBot="1" x14ac:dyDescent="0.3">
      <c r="B199" s="24" t="s">
        <v>9</v>
      </c>
      <c r="C199" s="25"/>
      <c r="D199" s="25"/>
      <c r="E199" s="25">
        <f>F197-L177</f>
        <v>249.29999999999927</v>
      </c>
      <c r="F199" s="26"/>
      <c r="H199" s="24" t="s">
        <v>9</v>
      </c>
      <c r="I199" s="25"/>
      <c r="J199" s="25"/>
      <c r="K199" s="25">
        <f>L197-F197</f>
        <v>256.375</v>
      </c>
      <c r="L199" s="26"/>
    </row>
    <row r="200" spans="2:12" x14ac:dyDescent="0.25">
      <c r="B200" s="27" t="s">
        <v>10</v>
      </c>
      <c r="C200" s="27"/>
      <c r="D200" s="27"/>
      <c r="E200" s="27">
        <f>D197-J177</f>
        <v>45.775000000000091</v>
      </c>
      <c r="H200" s="27" t="s">
        <v>10</v>
      </c>
      <c r="I200" s="27"/>
      <c r="J200" s="27"/>
      <c r="K200" s="27">
        <f>J197-D197</f>
        <v>135.94999999999982</v>
      </c>
    </row>
  </sheetData>
  <mergeCells count="6">
    <mergeCell ref="H3:K3"/>
    <mergeCell ref="O24:U24"/>
    <mergeCell ref="N7:AB7"/>
    <mergeCell ref="N8:AB8"/>
    <mergeCell ref="N9:AB9"/>
    <mergeCell ref="O23:U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B66F-3F17-4525-8A8E-A616BF1912A9}">
  <dimension ref="A2:G38"/>
  <sheetViews>
    <sheetView tabSelected="1" workbookViewId="0">
      <selection activeCell="J27" sqref="J27"/>
    </sheetView>
  </sheetViews>
  <sheetFormatPr defaultRowHeight="15" x14ac:dyDescent="0.25"/>
  <cols>
    <col min="2" max="2" width="25.140625" customWidth="1"/>
    <col min="3" max="6" width="13.7109375" customWidth="1"/>
  </cols>
  <sheetData>
    <row r="2" spans="1:7" x14ac:dyDescent="0.25">
      <c r="C2" t="s">
        <v>64</v>
      </c>
      <c r="D2" t="s">
        <v>65</v>
      </c>
      <c r="E2" t="s">
        <v>66</v>
      </c>
      <c r="F2" t="s">
        <v>67</v>
      </c>
    </row>
    <row r="4" spans="1:7" x14ac:dyDescent="0.25">
      <c r="A4">
        <v>2016</v>
      </c>
      <c r="B4" t="s">
        <v>58</v>
      </c>
      <c r="C4">
        <v>659</v>
      </c>
      <c r="D4">
        <v>773</v>
      </c>
      <c r="E4">
        <v>1500</v>
      </c>
      <c r="F4">
        <v>35</v>
      </c>
    </row>
    <row r="5" spans="1:7" x14ac:dyDescent="0.25">
      <c r="B5" t="s">
        <v>59</v>
      </c>
      <c r="C5">
        <v>689</v>
      </c>
      <c r="D5">
        <v>632</v>
      </c>
      <c r="E5">
        <v>1155</v>
      </c>
      <c r="F5">
        <v>27</v>
      </c>
    </row>
    <row r="6" spans="1:7" x14ac:dyDescent="0.25">
      <c r="B6" t="s">
        <v>60</v>
      </c>
      <c r="C6">
        <v>1639</v>
      </c>
      <c r="D6">
        <v>710</v>
      </c>
      <c r="E6">
        <v>1200</v>
      </c>
      <c r="F6">
        <v>34</v>
      </c>
    </row>
    <row r="7" spans="1:7" x14ac:dyDescent="0.25">
      <c r="B7" t="s">
        <v>61</v>
      </c>
      <c r="C7">
        <v>2161</v>
      </c>
      <c r="D7">
        <v>913</v>
      </c>
      <c r="E7">
        <v>1354</v>
      </c>
      <c r="F7">
        <v>38</v>
      </c>
    </row>
    <row r="8" spans="1:7" x14ac:dyDescent="0.25">
      <c r="B8" t="s">
        <v>62</v>
      </c>
      <c r="C8">
        <v>2293</v>
      </c>
      <c r="D8">
        <v>1032</v>
      </c>
      <c r="E8">
        <v>1521</v>
      </c>
      <c r="F8">
        <v>42</v>
      </c>
    </row>
    <row r="9" spans="1:7" x14ac:dyDescent="0.25">
      <c r="A9">
        <v>2017</v>
      </c>
      <c r="B9" t="s">
        <v>63</v>
      </c>
      <c r="C9">
        <v>3218</v>
      </c>
      <c r="D9">
        <v>975</v>
      </c>
      <c r="E9">
        <v>1532</v>
      </c>
      <c r="F9">
        <v>51</v>
      </c>
    </row>
    <row r="12" spans="1:7" x14ac:dyDescent="0.25">
      <c r="A12">
        <v>2017</v>
      </c>
      <c r="B12" t="s">
        <v>58</v>
      </c>
      <c r="C12">
        <v>539</v>
      </c>
      <c r="D12">
        <v>689</v>
      </c>
      <c r="E12">
        <v>1468</v>
      </c>
      <c r="F12">
        <v>36</v>
      </c>
    </row>
    <row r="13" spans="1:7" x14ac:dyDescent="0.25">
      <c r="B13" t="s">
        <v>59</v>
      </c>
      <c r="C13">
        <v>723</v>
      </c>
      <c r="D13">
        <v>855</v>
      </c>
      <c r="E13">
        <v>1430</v>
      </c>
      <c r="F13">
        <v>33</v>
      </c>
    </row>
    <row r="14" spans="1:7" x14ac:dyDescent="0.25">
      <c r="B14" t="s">
        <v>60</v>
      </c>
      <c r="C14">
        <v>792</v>
      </c>
      <c r="D14">
        <v>568</v>
      </c>
      <c r="E14">
        <v>1061</v>
      </c>
      <c r="F14">
        <v>30</v>
      </c>
    </row>
    <row r="15" spans="1:7" x14ac:dyDescent="0.25">
      <c r="B15" t="s">
        <v>61</v>
      </c>
      <c r="C15">
        <v>836</v>
      </c>
      <c r="D15">
        <v>534</v>
      </c>
      <c r="E15">
        <v>953</v>
      </c>
      <c r="G15" t="s">
        <v>69</v>
      </c>
    </row>
    <row r="16" spans="1:7" x14ac:dyDescent="0.25">
      <c r="B16" t="s">
        <v>62</v>
      </c>
      <c r="C16">
        <v>1786</v>
      </c>
      <c r="D16">
        <v>1141</v>
      </c>
      <c r="E16">
        <v>2034</v>
      </c>
      <c r="G16" t="s">
        <v>69</v>
      </c>
    </row>
    <row r="17" spans="1:7" x14ac:dyDescent="0.25">
      <c r="A17">
        <v>2018</v>
      </c>
      <c r="B17" t="s">
        <v>63</v>
      </c>
      <c r="C17">
        <v>2752</v>
      </c>
      <c r="D17">
        <v>1758</v>
      </c>
      <c r="E17">
        <v>3134</v>
      </c>
      <c r="G17" t="s">
        <v>68</v>
      </c>
    </row>
    <row r="19" spans="1:7" x14ac:dyDescent="0.25">
      <c r="A19">
        <v>2018</v>
      </c>
      <c r="B19" t="s">
        <v>58</v>
      </c>
      <c r="C19">
        <v>3384</v>
      </c>
      <c r="D19">
        <v>1064</v>
      </c>
      <c r="E19">
        <v>2066</v>
      </c>
      <c r="F19" s="33">
        <v>89</v>
      </c>
    </row>
    <row r="20" spans="1:7" x14ac:dyDescent="0.25">
      <c r="B20" t="s">
        <v>59</v>
      </c>
      <c r="C20">
        <v>1301</v>
      </c>
      <c r="D20">
        <v>999</v>
      </c>
      <c r="E20">
        <v>1620</v>
      </c>
      <c r="F20" s="33">
        <v>41</v>
      </c>
    </row>
    <row r="21" spans="1:7" x14ac:dyDescent="0.25">
      <c r="B21" t="s">
        <v>60</v>
      </c>
      <c r="C21">
        <v>2246</v>
      </c>
      <c r="D21">
        <v>1062</v>
      </c>
      <c r="E21">
        <v>1800</v>
      </c>
      <c r="F21" s="33">
        <v>50</v>
      </c>
    </row>
    <row r="22" spans="1:7" x14ac:dyDescent="0.25">
      <c r="B22" t="s">
        <v>61</v>
      </c>
      <c r="C22">
        <v>3223</v>
      </c>
      <c r="D22">
        <v>978</v>
      </c>
      <c r="E22">
        <v>1477</v>
      </c>
      <c r="F22" s="33">
        <v>77</v>
      </c>
    </row>
    <row r="23" spans="1:7" x14ac:dyDescent="0.25">
      <c r="B23" t="s">
        <v>62</v>
      </c>
      <c r="F23" s="33"/>
    </row>
    <row r="24" spans="1:7" x14ac:dyDescent="0.25">
      <c r="A24">
        <v>2019</v>
      </c>
      <c r="B24" t="s">
        <v>63</v>
      </c>
      <c r="C24">
        <v>13828</v>
      </c>
      <c r="D24">
        <v>2339</v>
      </c>
      <c r="E24">
        <v>2289</v>
      </c>
      <c r="F24" s="33">
        <v>111</v>
      </c>
    </row>
    <row r="25" spans="1:7" x14ac:dyDescent="0.25">
      <c r="F25" s="33"/>
    </row>
    <row r="26" spans="1:7" x14ac:dyDescent="0.25">
      <c r="A26">
        <v>2019</v>
      </c>
      <c r="B26" t="s">
        <v>58</v>
      </c>
      <c r="F26" s="33"/>
    </row>
    <row r="27" spans="1:7" x14ac:dyDescent="0.25">
      <c r="B27" t="s">
        <v>59</v>
      </c>
      <c r="C27">
        <v>902</v>
      </c>
      <c r="D27">
        <v>1016</v>
      </c>
      <c r="E27">
        <v>1640</v>
      </c>
      <c r="F27" s="33">
        <v>36.9</v>
      </c>
    </row>
    <row r="28" spans="1:7" x14ac:dyDescent="0.25">
      <c r="B28" t="s">
        <v>60</v>
      </c>
      <c r="C28">
        <v>1244</v>
      </c>
      <c r="D28">
        <v>936</v>
      </c>
      <c r="E28">
        <v>1576</v>
      </c>
      <c r="F28" s="33">
        <v>39.5</v>
      </c>
    </row>
    <row r="29" spans="1:7" x14ac:dyDescent="0.25">
      <c r="B29" t="s">
        <v>61</v>
      </c>
      <c r="C29">
        <v>3289</v>
      </c>
      <c r="D29">
        <v>1116</v>
      </c>
      <c r="E29">
        <v>1680</v>
      </c>
      <c r="F29" s="33">
        <v>58</v>
      </c>
    </row>
    <row r="30" spans="1:7" x14ac:dyDescent="0.25">
      <c r="B30" t="s">
        <v>62</v>
      </c>
      <c r="C30">
        <v>8392</v>
      </c>
      <c r="D30">
        <v>1761</v>
      </c>
      <c r="E30">
        <v>1978</v>
      </c>
      <c r="F30" s="33">
        <v>113.5</v>
      </c>
    </row>
    <row r="31" spans="1:7" x14ac:dyDescent="0.25">
      <c r="A31">
        <v>2020</v>
      </c>
      <c r="B31" t="s">
        <v>63</v>
      </c>
      <c r="C31">
        <v>10890</v>
      </c>
      <c r="D31">
        <v>1970</v>
      </c>
      <c r="E31">
        <v>2273</v>
      </c>
      <c r="F31" s="33">
        <v>103.4</v>
      </c>
    </row>
    <row r="32" spans="1:7" x14ac:dyDescent="0.25">
      <c r="F32" s="33"/>
    </row>
    <row r="33" spans="1:6" x14ac:dyDescent="0.25">
      <c r="A33">
        <v>2020</v>
      </c>
      <c r="B33" t="s">
        <v>58</v>
      </c>
      <c r="C33">
        <v>4208</v>
      </c>
      <c r="D33">
        <v>839</v>
      </c>
      <c r="E33">
        <v>1516</v>
      </c>
      <c r="F33" s="33">
        <v>67.7</v>
      </c>
    </row>
    <row r="34" spans="1:6" x14ac:dyDescent="0.25">
      <c r="B34" t="s">
        <v>59</v>
      </c>
      <c r="C34">
        <v>1399</v>
      </c>
      <c r="D34">
        <v>916</v>
      </c>
      <c r="E34">
        <v>1323</v>
      </c>
      <c r="F34" s="33">
        <v>46.9</v>
      </c>
    </row>
    <row r="35" spans="1:6" x14ac:dyDescent="0.25">
      <c r="B35" t="s">
        <v>60</v>
      </c>
      <c r="C35">
        <v>1204</v>
      </c>
      <c r="D35">
        <v>714</v>
      </c>
      <c r="E35">
        <v>1243</v>
      </c>
      <c r="F35" s="33">
        <v>36.200000000000003</v>
      </c>
    </row>
    <row r="36" spans="1:6" x14ac:dyDescent="0.25">
      <c r="B36" t="s">
        <v>61</v>
      </c>
      <c r="C36">
        <v>3038</v>
      </c>
      <c r="D36">
        <v>1141</v>
      </c>
      <c r="E36">
        <v>1414</v>
      </c>
      <c r="F36" s="33">
        <v>69.599999999999994</v>
      </c>
    </row>
    <row r="37" spans="1:6" x14ac:dyDescent="0.25">
      <c r="B37" t="s">
        <v>62</v>
      </c>
      <c r="C37">
        <v>9417</v>
      </c>
      <c r="D37">
        <v>2025</v>
      </c>
      <c r="E37">
        <v>2270</v>
      </c>
      <c r="F37" s="33">
        <v>102</v>
      </c>
    </row>
    <row r="38" spans="1:6" x14ac:dyDescent="0.25">
      <c r="A38">
        <v>2021</v>
      </c>
      <c r="B38" t="s">
        <v>63</v>
      </c>
      <c r="C38">
        <v>10823</v>
      </c>
      <c r="D38">
        <v>1605</v>
      </c>
      <c r="E38">
        <v>1687</v>
      </c>
      <c r="F38" s="33">
        <v>97.1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LETTURA GIORN. PER VERIFICA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2022-01-11T13:29:24Z</dcterms:created>
  <dcterms:modified xsi:type="dcterms:W3CDTF">2022-03-01T17:31:44Z</dcterms:modified>
</cp:coreProperties>
</file>